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PGAS03\Desktop\ホームページ様式保安機関更新\"/>
    </mc:Choice>
  </mc:AlternateContent>
  <xr:revisionPtr revIDLastSave="0" documentId="13_ncr:1_{F1399464-D96F-4F5E-A66B-8FD9741226EE}" xr6:coauthVersionLast="47" xr6:coauthVersionMax="47" xr10:uidLastSave="{00000000-0000-0000-0000-000000000000}"/>
  <bookViews>
    <workbookView xWindow="4275" yWindow="1080" windowWidth="22875" windowHeight="14940" firstSheet="1" activeTab="4" xr2:uid="{00000000-000D-0000-FFFF-FFFF00000000}"/>
  </bookViews>
  <sheets>
    <sheet name="入力" sheetId="18" r:id="rId1"/>
    <sheet name="必要書類" sheetId="1" r:id="rId2"/>
    <sheet name="様式14" sheetId="3" r:id="rId3"/>
    <sheet name="様式14別紙" sheetId="20" r:id="rId4"/>
    <sheet name="証紙貼付" sheetId="19" r:id="rId5"/>
    <sheet name="様式13" sheetId="4" r:id="rId6"/>
    <sheet name="滋様13-1" sheetId="5" r:id="rId7"/>
    <sheet name="滋様13-1別" sheetId="6" r:id="rId8"/>
    <sheet name="滋様13-2" sheetId="7" r:id="rId9"/>
    <sheet name="滋様13-3" sheetId="8" r:id="rId10"/>
    <sheet name="滋様13-4" sheetId="9" r:id="rId11"/>
    <sheet name="滋様13-5" sheetId="10" r:id="rId12"/>
    <sheet name="滋様13-6" sheetId="11" r:id="rId13"/>
    <sheet name="滋様13-7" sheetId="12" r:id="rId14"/>
    <sheet name="滋様13-8" sheetId="13" r:id="rId15"/>
    <sheet name="滋様13-9" sheetId="17" r:id="rId16"/>
    <sheet name="滋様13-10" sheetId="14" r:id="rId17"/>
    <sheet name="滋様13-11" sheetId="15" r:id="rId18"/>
    <sheet name="滋様13-12" sheetId="16" r:id="rId19"/>
  </sheets>
  <definedNames>
    <definedName name="_xlnm.Print_Area" localSheetId="6">'滋様13-1'!$A$1:$AO$29</definedName>
    <definedName name="_xlnm.Print_Area" localSheetId="16">'滋様13-10'!$A$1:$AO$36</definedName>
    <definedName name="_xlnm.Print_Area" localSheetId="17">'滋様13-11'!$A$1:$AO$34</definedName>
    <definedName name="_xlnm.Print_Area" localSheetId="18">'滋様13-12'!$A$1:$AO$40</definedName>
    <definedName name="_xlnm.Print_Area" localSheetId="7">'滋様13-1別'!$A$1:$I$17</definedName>
    <definedName name="_xlnm.Print_Area" localSheetId="8">'滋様13-2'!$A$1:$AO$43</definedName>
    <definedName name="_xlnm.Print_Area" localSheetId="9">'滋様13-3'!$A$1:$AO$43</definedName>
    <definedName name="_xlnm.Print_Area" localSheetId="10">'滋様13-4'!$A$1:$AO$37</definedName>
    <definedName name="_xlnm.Print_Area" localSheetId="11">'滋様13-5'!$A$1:$AO$42</definedName>
    <definedName name="_xlnm.Print_Area" localSheetId="12">'滋様13-6'!$A$1:$AO$43</definedName>
    <definedName name="_xlnm.Print_Area" localSheetId="13">'滋様13-7'!$A$1:$AO$36</definedName>
    <definedName name="_xlnm.Print_Area" localSheetId="14">'滋様13-8'!$A$1:$AO$22</definedName>
    <definedName name="_xlnm.Print_Area" localSheetId="15">'滋様13-9'!$A:$AO</definedName>
    <definedName name="_xlnm.Print_Area" localSheetId="4">証紙貼付!$A$1:$AO$38</definedName>
    <definedName name="_xlnm.Print_Area" localSheetId="1">必要書類!$A$1:$AK$36</definedName>
    <definedName name="_xlnm.Print_Area" localSheetId="5">様式13!$A$1:$K$22</definedName>
    <definedName name="_xlnm.Print_Area" localSheetId="2">様式14!$A$1:$AO$36</definedName>
    <definedName name="_xlnm.Print_Area" localSheetId="3">様式14別紙!$A$1:$X$20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4" i="20" l="1"/>
  <c r="W14" i="20"/>
  <c r="V14" i="20"/>
  <c r="T14" i="20"/>
  <c r="R14" i="20"/>
  <c r="P14" i="20"/>
  <c r="N14" i="20"/>
  <c r="X13" i="20"/>
  <c r="W13" i="20"/>
  <c r="V13" i="20"/>
  <c r="T13" i="20"/>
  <c r="R13" i="20"/>
  <c r="P13" i="20"/>
  <c r="N13" i="20"/>
  <c r="X12" i="20"/>
  <c r="W12" i="20"/>
  <c r="V12" i="20"/>
  <c r="T12" i="20"/>
  <c r="R12" i="20"/>
  <c r="P12" i="20"/>
  <c r="N12" i="20"/>
  <c r="X11" i="20"/>
  <c r="W11" i="20"/>
  <c r="V11" i="20"/>
  <c r="T11" i="20"/>
  <c r="R11" i="20"/>
  <c r="P11" i="20"/>
  <c r="N11" i="20"/>
  <c r="X10" i="20"/>
  <c r="W10" i="20"/>
  <c r="V10" i="20"/>
  <c r="T10" i="20"/>
  <c r="R10" i="20"/>
  <c r="P10" i="20"/>
  <c r="N10" i="20"/>
  <c r="X9" i="20"/>
  <c r="W9" i="20"/>
  <c r="V9" i="20"/>
  <c r="T9" i="20"/>
  <c r="R9" i="20"/>
  <c r="P9" i="20"/>
  <c r="N9" i="20"/>
  <c r="X8" i="20"/>
  <c r="W8" i="20"/>
  <c r="V8" i="20"/>
  <c r="T8" i="20"/>
  <c r="R8" i="20"/>
  <c r="P8" i="20"/>
  <c r="N8" i="20"/>
  <c r="X7" i="20"/>
  <c r="W7" i="20"/>
  <c r="V7" i="20"/>
  <c r="T7" i="20"/>
  <c r="R7" i="20"/>
  <c r="P7" i="20"/>
  <c r="N7" i="20"/>
  <c r="X6" i="20"/>
  <c r="W6" i="20"/>
  <c r="V6" i="20"/>
  <c r="T6" i="20"/>
  <c r="R6" i="20"/>
  <c r="P6" i="20"/>
  <c r="N6" i="20"/>
  <c r="C81" i="18" l="1"/>
  <c r="C80" i="18"/>
  <c r="C79" i="18"/>
  <c r="C78" i="18"/>
  <c r="C72" i="18"/>
  <c r="C71" i="18"/>
  <c r="C70" i="18"/>
  <c r="C68"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E94" i="18" l="1"/>
  <c r="E82" i="18"/>
  <c r="E68" i="18" l="1"/>
  <c r="E35" i="18" l="1"/>
  <c r="E10" i="18"/>
  <c r="E5" i="18" l="1"/>
  <c r="AR13" i="15" l="1"/>
  <c r="AQ25" i="14" l="1"/>
  <c r="AQ23" i="14"/>
  <c r="AQ24" i="14"/>
  <c r="AQ21" i="14"/>
  <c r="AQ20" i="14"/>
  <c r="AQ22" i="14"/>
  <c r="C75" i="18" l="1"/>
  <c r="C13" i="18" l="1"/>
  <c r="C12" i="18"/>
  <c r="C11" i="18"/>
  <c r="C76" i="18" l="1"/>
  <c r="C74" i="18"/>
  <c r="C73" i="18"/>
  <c r="C69" i="18"/>
  <c r="AQ31" i="15" l="1"/>
  <c r="A31" i="15" s="1"/>
  <c r="AQ30" i="15"/>
  <c r="A30" i="15" s="1"/>
  <c r="AQ29" i="15"/>
  <c r="A29" i="15" s="1"/>
  <c r="AQ28" i="15"/>
  <c r="A28" i="15" s="1"/>
  <c r="AQ27" i="15"/>
  <c r="A27" i="15" s="1"/>
  <c r="AQ26" i="15"/>
  <c r="A26" i="15" s="1"/>
  <c r="AQ25" i="15"/>
  <c r="A25" i="15" s="1"/>
  <c r="AQ24" i="15"/>
  <c r="A24" i="15" s="1"/>
  <c r="AQ23" i="15"/>
  <c r="A23" i="15" s="1"/>
  <c r="AQ22" i="15"/>
  <c r="A22" i="15" s="1"/>
  <c r="AQ21" i="15"/>
  <c r="A21" i="15" s="1"/>
  <c r="AQ20" i="15"/>
  <c r="A20" i="15" s="1"/>
  <c r="AQ19" i="15"/>
  <c r="A19" i="15" s="1"/>
  <c r="AQ18" i="15"/>
  <c r="A18" i="15" s="1"/>
  <c r="AQ17" i="15"/>
  <c r="A17" i="15" s="1"/>
  <c r="AQ16" i="15"/>
  <c r="A16" i="15" s="1"/>
  <c r="C49" i="18" l="1"/>
  <c r="C10" i="18" l="1"/>
  <c r="C9" i="18"/>
  <c r="A36" i="1" l="1"/>
  <c r="B33" i="1"/>
  <c r="B32" i="1"/>
  <c r="B31" i="1"/>
  <c r="B30" i="1"/>
  <c r="B29" i="1"/>
  <c r="B28" i="1"/>
  <c r="B27" i="1"/>
  <c r="B26" i="1"/>
  <c r="B25" i="1"/>
  <c r="B24" i="1"/>
  <c r="B23" i="1"/>
  <c r="B22" i="1"/>
  <c r="B21" i="1"/>
  <c r="B20" i="1"/>
  <c r="B11" i="1"/>
  <c r="B10" i="1"/>
  <c r="B9" i="1"/>
  <c r="B6" i="1"/>
  <c r="I22" i="12" l="1"/>
  <c r="I21" i="12"/>
  <c r="I20" i="12"/>
  <c r="I19" i="12"/>
  <c r="I18" i="12"/>
  <c r="A22" i="12"/>
  <c r="A21" i="12"/>
  <c r="A20" i="12"/>
  <c r="A19" i="12"/>
  <c r="A18" i="12"/>
  <c r="I17" i="12"/>
  <c r="I16" i="12"/>
  <c r="A17" i="12"/>
  <c r="A16" i="12"/>
  <c r="H4" i="19" l="1"/>
  <c r="I15" i="12" l="1"/>
  <c r="A15" i="12"/>
  <c r="A77" i="17" l="1"/>
  <c r="A178" i="17" l="1"/>
  <c r="A177" i="17"/>
  <c r="A176" i="17"/>
  <c r="A175" i="17"/>
  <c r="A174" i="17"/>
  <c r="A171" i="17"/>
  <c r="A173" i="17"/>
  <c r="A172" i="17"/>
  <c r="A170" i="17"/>
  <c r="AQ5" i="3" l="1"/>
  <c r="AR5" i="3"/>
  <c r="N2" i="4" l="1"/>
  <c r="AQ6" i="8"/>
  <c r="AQ5" i="17"/>
  <c r="AQ5" i="7"/>
  <c r="AQ37" i="11"/>
  <c r="AQ14" i="8"/>
  <c r="AR11" i="15"/>
  <c r="AR12" i="15" s="1"/>
  <c r="AQ13" i="16"/>
  <c r="AQ14" i="16" s="1"/>
  <c r="AQ11" i="14"/>
  <c r="AQ12" i="14" s="1"/>
  <c r="AQ22" i="9"/>
  <c r="AQ35" i="9" s="1"/>
  <c r="A34" i="9" s="1"/>
  <c r="AQ7" i="9"/>
  <c r="AQ9" i="9" s="1"/>
  <c r="A8" i="9" s="1"/>
  <c r="AQ11" i="8"/>
  <c r="AQ12" i="8" s="1"/>
  <c r="AQ8" i="8"/>
  <c r="AQ9" i="8" s="1"/>
  <c r="AQ7" i="7"/>
  <c r="AQ8" i="7" s="1"/>
  <c r="AQ7" i="17"/>
  <c r="AQ8" i="17" s="1"/>
  <c r="AQ171" i="17"/>
  <c r="AQ170" i="17"/>
  <c r="AQ169" i="17"/>
  <c r="AQ168" i="17"/>
  <c r="AQ166" i="17"/>
  <c r="AQ167" i="17"/>
  <c r="AQ165" i="17"/>
  <c r="AQ17" i="14"/>
  <c r="AR17" i="14" s="1"/>
  <c r="AQ16" i="14"/>
  <c r="AR16" i="14" s="1"/>
  <c r="N26" i="4"/>
  <c r="AQ14" i="14"/>
  <c r="AR14" i="14" s="1"/>
  <c r="N24" i="4"/>
  <c r="N18" i="4"/>
  <c r="N19" i="4" s="1"/>
  <c r="I6" i="4" s="1"/>
  <c r="N22" i="4"/>
  <c r="N14" i="4"/>
  <c r="N15" i="4" s="1"/>
  <c r="G6" i="4" s="1"/>
  <c r="N16" i="4"/>
  <c r="N10" i="4"/>
  <c r="N11" i="4" s="1"/>
  <c r="D6" i="4" s="1"/>
  <c r="AQ19" i="14"/>
  <c r="AQ18" i="14" s="1"/>
  <c r="AR18" i="14" s="1"/>
  <c r="N12" i="4"/>
  <c r="N28" i="4" s="1"/>
  <c r="E8" i="4" s="1"/>
  <c r="K6" i="6"/>
  <c r="K7" i="6" s="1"/>
  <c r="AQ15" i="14"/>
  <c r="AR15" i="14" s="1"/>
  <c r="N25" i="4"/>
  <c r="Z17" i="20"/>
  <c r="Z24" i="20" s="1"/>
  <c r="Z18" i="20"/>
  <c r="Z25" i="20" s="1"/>
  <c r="Z15" i="20"/>
  <c r="Z22" i="20" s="1"/>
  <c r="Z16" i="20"/>
  <c r="Z23" i="20" s="1"/>
  <c r="Z13" i="20"/>
  <c r="Z20" i="20" s="1"/>
  <c r="Z14" i="20"/>
  <c r="Z21" i="20" s="1"/>
  <c r="Z10" i="20"/>
  <c r="Z12" i="20"/>
  <c r="Z19" i="20" s="1"/>
  <c r="Z6" i="20"/>
  <c r="Z8" i="20"/>
  <c r="N4" i="4"/>
  <c r="Z7" i="20"/>
  <c r="Z5" i="20"/>
  <c r="A2" i="20" s="1"/>
  <c r="AQ22" i="5"/>
  <c r="K10" i="6"/>
  <c r="K12" i="6" s="1"/>
  <c r="AQ7" i="11"/>
  <c r="B7" i="11" s="1"/>
  <c r="AQ8" i="11"/>
  <c r="B8" i="11" s="1"/>
  <c r="AQ13" i="8"/>
  <c r="N20" i="4"/>
  <c r="AQ7" i="10"/>
  <c r="K9" i="6"/>
  <c r="AQ18" i="11"/>
  <c r="A18" i="11" s="1"/>
  <c r="AQ7" i="19"/>
  <c r="H5" i="19" s="1"/>
  <c r="AQ14" i="11"/>
  <c r="B14" i="11" s="1"/>
  <c r="AQ13" i="11"/>
  <c r="B13" i="11" s="1"/>
  <c r="AQ12" i="11"/>
  <c r="B12" i="11" s="1"/>
  <c r="AQ11" i="11"/>
  <c r="B11" i="11" s="1"/>
  <c r="AQ10" i="11"/>
  <c r="B10" i="11" s="1"/>
  <c r="AQ9" i="11"/>
  <c r="AQ5" i="19"/>
  <c r="AQ6" i="19"/>
  <c r="H3" i="19" s="1"/>
  <c r="AQ13" i="14"/>
  <c r="AR13" i="14" s="1"/>
  <c r="AQ148" i="17"/>
  <c r="G150" i="17" s="1"/>
  <c r="AQ6" i="16"/>
  <c r="AR6" i="15"/>
  <c r="AR5" i="15"/>
  <c r="AQ5" i="16"/>
  <c r="AQ5" i="14"/>
  <c r="AQ6" i="13"/>
  <c r="A4" i="13" s="1"/>
  <c r="AQ6" i="12"/>
  <c r="A4" i="12" s="1"/>
  <c r="AQ10" i="3"/>
  <c r="AQ6" i="17"/>
  <c r="AQ9" i="16"/>
  <c r="AR9" i="15"/>
  <c r="AQ10" i="13"/>
  <c r="AQ8" i="13" s="1"/>
  <c r="AQ9" i="13" s="1"/>
  <c r="A8" i="13" s="1"/>
  <c r="AQ9" i="14"/>
  <c r="AQ10" i="12"/>
  <c r="AQ6" i="11"/>
  <c r="A2" i="11" s="1"/>
  <c r="AQ10" i="7"/>
  <c r="N9" i="4"/>
  <c r="AQ41" i="8"/>
  <c r="A41" i="8" s="1"/>
  <c r="AQ19" i="5"/>
  <c r="K8" i="6"/>
  <c r="N37" i="4"/>
  <c r="D13" i="4" s="1"/>
  <c r="N36" i="4"/>
  <c r="D12" i="4" s="1"/>
  <c r="N35" i="4"/>
  <c r="D11" i="4" s="1"/>
  <c r="N41" i="4"/>
  <c r="D17" i="4" s="1"/>
  <c r="N40" i="4"/>
  <c r="D16" i="4" s="1"/>
  <c r="N38" i="4"/>
  <c r="D14" i="4" s="1"/>
  <c r="N27" i="4"/>
  <c r="AQ51" i="17"/>
  <c r="AQ52" i="17" s="1"/>
  <c r="AQ152" i="17" s="1"/>
  <c r="AQ56" i="17"/>
  <c r="AQ57" i="17" s="1"/>
  <c r="AQ58" i="17" s="1"/>
  <c r="AQ41" i="17"/>
  <c r="AQ42" i="17" s="1"/>
  <c r="AQ43" i="17" s="1"/>
  <c r="AQ31" i="17"/>
  <c r="AQ32" i="17" s="1"/>
  <c r="AQ9" i="17"/>
  <c r="AQ10" i="17" s="1"/>
  <c r="AQ21" i="17"/>
  <c r="AQ22" i="17" s="1"/>
  <c r="AQ14" i="17"/>
  <c r="AQ15" i="17" s="1"/>
  <c r="AQ11" i="7"/>
  <c r="AQ150" i="17"/>
  <c r="AQ6" i="14"/>
  <c r="AQ7" i="13"/>
  <c r="AQ7" i="12"/>
  <c r="AQ11" i="12" s="1"/>
  <c r="AQ11" i="3"/>
  <c r="AQ17" i="3" s="1"/>
  <c r="AQ6" i="10"/>
  <c r="AQ5" i="10"/>
  <c r="A2" i="10" s="1"/>
  <c r="AQ14" i="3"/>
  <c r="AQ10" i="8"/>
  <c r="AQ9" i="7"/>
  <c r="AQ18" i="3"/>
  <c r="N6" i="4"/>
  <c r="N3" i="4"/>
  <c r="AQ5" i="5"/>
  <c r="K5" i="6"/>
  <c r="A2" i="6" s="1"/>
  <c r="AQ7" i="8"/>
  <c r="AQ6" i="9"/>
  <c r="A2" i="9" s="1"/>
  <c r="AQ6" i="7"/>
  <c r="AQ27" i="5"/>
  <c r="AQ29" i="5" s="1"/>
  <c r="AQ8" i="5"/>
  <c r="N39" i="4"/>
  <c r="D15" i="4" s="1"/>
  <c r="B6" i="6" l="1"/>
  <c r="A4" i="7"/>
  <c r="A3" i="17"/>
  <c r="A4" i="8"/>
  <c r="AQ10" i="16"/>
  <c r="AQ7" i="16" s="1"/>
  <c r="AQ8" i="16" s="1"/>
  <c r="A8" i="16" s="1"/>
  <c r="A14" i="16"/>
  <c r="AQ10" i="14"/>
  <c r="AQ7" i="14" s="1"/>
  <c r="AQ8" i="14" s="1"/>
  <c r="A8" i="14" s="1"/>
  <c r="A14" i="14"/>
  <c r="AR10" i="15"/>
  <c r="AR7" i="15" s="1"/>
  <c r="AR8" i="15" s="1"/>
  <c r="A8" i="15" s="1"/>
  <c r="A14" i="15"/>
  <c r="N7" i="4"/>
  <c r="N8" i="4" s="1"/>
  <c r="A4" i="4" s="1"/>
  <c r="A40" i="11"/>
  <c r="A38" i="11"/>
  <c r="N44" i="4"/>
  <c r="N23" i="4"/>
  <c r="K6" i="4" s="1"/>
  <c r="N43" i="4"/>
  <c r="N45" i="4" s="1"/>
  <c r="AQ20" i="8"/>
  <c r="M13" i="8" s="1"/>
  <c r="AQ18" i="8"/>
  <c r="AQ17" i="8"/>
  <c r="AQ19" i="8" s="1"/>
  <c r="AQ24" i="9"/>
  <c r="A23" i="9" s="1"/>
  <c r="AQ27" i="9"/>
  <c r="A26" i="9" s="1"/>
  <c r="AQ26" i="9"/>
  <c r="A25" i="9" s="1"/>
  <c r="AQ29" i="9"/>
  <c r="A28" i="9" s="1"/>
  <c r="AQ28" i="9"/>
  <c r="A27" i="9" s="1"/>
  <c r="AQ32" i="9"/>
  <c r="A31" i="9" s="1"/>
  <c r="AQ30" i="9"/>
  <c r="A29" i="9" s="1"/>
  <c r="AQ34" i="9"/>
  <c r="A33" i="9" s="1"/>
  <c r="AQ23" i="9"/>
  <c r="A22" i="9" s="1"/>
  <c r="AQ33" i="9"/>
  <c r="A32" i="9" s="1"/>
  <c r="AQ8" i="9"/>
  <c r="A7" i="9" s="1"/>
  <c r="AQ18" i="9"/>
  <c r="A17" i="9" s="1"/>
  <c r="AQ17" i="9"/>
  <c r="A16" i="9" s="1"/>
  <c r="AQ19" i="9"/>
  <c r="A18" i="9" s="1"/>
  <c r="AQ15" i="9"/>
  <c r="A14" i="9" s="1"/>
  <c r="AQ14" i="9"/>
  <c r="A13" i="9" s="1"/>
  <c r="AQ13" i="9"/>
  <c r="A12" i="9" s="1"/>
  <c r="AQ20" i="9"/>
  <c r="A19" i="9" s="1"/>
  <c r="AQ11" i="9"/>
  <c r="A10" i="9" s="1"/>
  <c r="AQ12" i="9"/>
  <c r="A11" i="9" s="1"/>
  <c r="A19" i="5"/>
  <c r="AQ26" i="5"/>
  <c r="A26" i="5" s="1"/>
  <c r="AQ21" i="5"/>
  <c r="A21" i="5" s="1"/>
  <c r="AQ20" i="5"/>
  <c r="A20" i="5" s="1"/>
  <c r="A4" i="16"/>
  <c r="I1" i="7"/>
  <c r="N33" i="4"/>
  <c r="G10" i="4" s="1"/>
  <c r="N29" i="4"/>
  <c r="N13" i="4"/>
  <c r="E6" i="4" s="1"/>
  <c r="N32" i="4"/>
  <c r="E10" i="4" s="1"/>
  <c r="N30" i="4"/>
  <c r="N34" i="4"/>
  <c r="H10" i="4" s="1"/>
  <c r="N17" i="4"/>
  <c r="H6" i="4" s="1"/>
  <c r="B8" i="5"/>
  <c r="AQ9" i="5"/>
  <c r="B11" i="5" s="1"/>
  <c r="D7" i="4"/>
  <c r="A6" i="6"/>
  <c r="AQ20" i="3"/>
  <c r="AQ19" i="3"/>
  <c r="AQ15" i="3" s="1"/>
  <c r="AQ16" i="3"/>
  <c r="A4" i="15"/>
  <c r="N21" i="4"/>
  <c r="J6" i="4" s="1"/>
  <c r="Z11" i="20"/>
  <c r="B5" i="20" s="1"/>
  <c r="Z9" i="20"/>
  <c r="A5" i="20" s="1"/>
  <c r="K11" i="6"/>
  <c r="B1" i="6" s="1"/>
  <c r="A27" i="5"/>
  <c r="G5" i="20"/>
  <c r="R5" i="20" s="1"/>
  <c r="L5" i="20"/>
  <c r="W5" i="20" s="1"/>
  <c r="I5" i="20"/>
  <c r="T5" i="20" s="1"/>
  <c r="K5" i="20"/>
  <c r="V5" i="20" s="1"/>
  <c r="M5" i="20"/>
  <c r="X5" i="20" s="1"/>
  <c r="C5" i="20"/>
  <c r="N5" i="20" s="1"/>
  <c r="E5" i="20"/>
  <c r="P5" i="20" s="1"/>
  <c r="B1" i="20"/>
  <c r="D5" i="20"/>
  <c r="N5" i="4"/>
  <c r="A3" i="4" s="1"/>
  <c r="AQ44" i="17"/>
  <c r="A2" i="5"/>
  <c r="N46" i="4"/>
  <c r="D20" i="4" s="1"/>
  <c r="N42" i="4"/>
  <c r="D18" i="4" s="1"/>
  <c r="AQ23" i="8"/>
  <c r="A16" i="8" s="1"/>
  <c r="AQ22" i="8"/>
  <c r="AQ16" i="8"/>
  <c r="A9" i="8" s="1"/>
  <c r="AQ21" i="8"/>
  <c r="AQ15" i="8"/>
  <c r="A8" i="8" s="1"/>
  <c r="B9" i="11"/>
  <c r="I1" i="11"/>
  <c r="H2" i="19"/>
  <c r="A1" i="19"/>
  <c r="A4" i="14"/>
  <c r="AQ8" i="12"/>
  <c r="AQ9" i="12" s="1"/>
  <c r="A8" i="12" s="1"/>
  <c r="I1" i="13"/>
  <c r="A5" i="8"/>
  <c r="AQ35" i="17"/>
  <c r="AQ11" i="17"/>
  <c r="AQ12" i="17" s="1"/>
  <c r="AQ13" i="17" s="1"/>
  <c r="AQ153" i="17"/>
  <c r="X150" i="17" s="1"/>
  <c r="AQ151" i="17"/>
  <c r="AQ53" i="17"/>
  <c r="AQ54" i="17" s="1"/>
  <c r="AQ33" i="17"/>
  <c r="AQ34" i="17" s="1"/>
  <c r="AQ36" i="17"/>
  <c r="AQ46" i="17"/>
  <c r="AQ47" i="17" s="1"/>
  <c r="AQ17" i="17"/>
  <c r="AQ26" i="17"/>
  <c r="AQ25" i="17"/>
  <c r="AQ23" i="17"/>
  <c r="AQ24" i="17" s="1"/>
  <c r="AQ149" i="17"/>
  <c r="AQ16" i="17"/>
  <c r="AQ59" i="17"/>
  <c r="AQ60" i="17" s="1"/>
  <c r="AQ61" i="17"/>
  <c r="A49" i="17" s="1"/>
  <c r="I1" i="10"/>
  <c r="A5" i="7"/>
  <c r="A10" i="3"/>
  <c r="E14" i="11"/>
  <c r="I1" i="9" l="1"/>
  <c r="J1" i="14"/>
  <c r="N31" i="4"/>
  <c r="G9" i="4" s="1"/>
  <c r="B13" i="5"/>
  <c r="B10" i="5"/>
  <c r="B9" i="5"/>
  <c r="B15" i="5"/>
  <c r="B12" i="5"/>
  <c r="I1" i="15"/>
  <c r="AQ12" i="3"/>
  <c r="AQ13" i="3" s="1"/>
  <c r="I1" i="5"/>
  <c r="A29" i="5"/>
  <c r="I1" i="8"/>
  <c r="A15" i="8"/>
  <c r="A9" i="14"/>
  <c r="A9" i="15"/>
  <c r="A9" i="16"/>
  <c r="A9" i="12"/>
  <c r="I1" i="12"/>
  <c r="A18" i="17"/>
  <c r="G151" i="17"/>
  <c r="AQ37" i="17"/>
  <c r="AQ38" i="17" s="1"/>
  <c r="AQ39" i="17"/>
  <c r="AQ40" i="17" s="1"/>
  <c r="A30" i="17" s="1"/>
  <c r="A13" i="17"/>
  <c r="AQ101" i="17"/>
  <c r="AA126" i="17" s="1"/>
  <c r="AQ62" i="17"/>
  <c r="AQ72" i="17" s="1"/>
  <c r="AQ27" i="17"/>
  <c r="AQ28" i="17" s="1"/>
  <c r="AQ76" i="17"/>
  <c r="AQ77" i="17" s="1"/>
  <c r="AQ29" i="17"/>
  <c r="AQ30" i="17" s="1"/>
  <c r="A24" i="17" s="1"/>
  <c r="AQ74" i="17"/>
  <c r="AQ75" i="17" s="1"/>
  <c r="AQ18" i="17"/>
  <c r="R150" i="17"/>
  <c r="AQ81" i="17"/>
  <c r="AQ82" i="17" s="1"/>
  <c r="AQ79" i="17"/>
  <c r="AQ80" i="17" s="1"/>
  <c r="AQ55" i="17"/>
  <c r="AQ99" i="17" s="1"/>
  <c r="AQ48" i="17"/>
  <c r="AQ97" i="17" s="1"/>
  <c r="AA116" i="17" s="1"/>
  <c r="AQ45" i="17"/>
  <c r="AQ49" i="17"/>
  <c r="AQ50" i="17" s="1"/>
  <c r="AQ98" i="17" s="1"/>
  <c r="I116" i="17" s="1"/>
  <c r="AQ83" i="17"/>
  <c r="AQ100" i="17"/>
  <c r="A47" i="17"/>
  <c r="E103" i="18"/>
  <c r="E104" i="18" s="1"/>
  <c r="E99" i="18"/>
  <c r="E98" i="18"/>
  <c r="E91" i="18"/>
  <c r="E92" i="18" s="1"/>
  <c r="E87" i="18"/>
  <c r="E86" i="18"/>
  <c r="D1" i="4" l="1"/>
  <c r="M1" i="3"/>
  <c r="A19" i="3"/>
  <c r="A15" i="3"/>
  <c r="A18" i="3"/>
  <c r="A16" i="3"/>
  <c r="A14" i="3"/>
  <c r="F19" i="4"/>
  <c r="N12" i="8"/>
  <c r="AQ19" i="17"/>
  <c r="A16" i="17" s="1"/>
  <c r="AQ20" i="17"/>
  <c r="A19" i="17" s="1"/>
  <c r="A37" i="17"/>
  <c r="A29" i="17"/>
  <c r="A31" i="17"/>
  <c r="AQ87" i="17"/>
  <c r="I101" i="17" s="1"/>
  <c r="AQ88" i="17"/>
  <c r="AA101" i="17" s="1"/>
  <c r="AQ91" i="17"/>
  <c r="AQ92" i="17"/>
  <c r="AQ64" i="17"/>
  <c r="AQ65" i="17" s="1"/>
  <c r="AQ70" i="17"/>
  <c r="AQ66" i="17"/>
  <c r="A35" i="17"/>
  <c r="AQ78" i="17"/>
  <c r="AQ94" i="17" s="1"/>
  <c r="AQ68" i="17"/>
  <c r="AQ69" i="17" s="1"/>
  <c r="AQ63" i="17"/>
  <c r="AQ73" i="17"/>
  <c r="A61" i="17" s="1"/>
  <c r="A137" i="17"/>
  <c r="A25" i="17"/>
  <c r="A40" i="17"/>
  <c r="A23" i="17"/>
  <c r="N166" i="17"/>
  <c r="AQ147" i="17"/>
  <c r="O121" i="17"/>
  <c r="I126" i="17"/>
  <c r="N160" i="17"/>
  <c r="W170" i="17" s="1"/>
  <c r="O83" i="17"/>
  <c r="AQ84" i="17" l="1"/>
  <c r="O88" i="17" s="1"/>
  <c r="AQ89" i="17"/>
  <c r="I103" i="17" s="1"/>
  <c r="A69" i="17"/>
  <c r="A62" i="17"/>
  <c r="AQ90" i="17"/>
  <c r="AA103" i="17" s="1"/>
  <c r="A73" i="17"/>
  <c r="A65" i="17"/>
  <c r="A70" i="17"/>
  <c r="AQ93" i="17"/>
  <c r="I110" i="17" s="1"/>
  <c r="A74" i="17"/>
  <c r="A66" i="17"/>
  <c r="AQ102" i="17"/>
  <c r="AQ86" i="17"/>
  <c r="AA110" i="17"/>
  <c r="AQ71" i="17"/>
  <c r="A58" i="17"/>
  <c r="AQ67" i="17"/>
  <c r="AA108" i="17"/>
  <c r="AQ85" i="17"/>
  <c r="A55" i="17"/>
  <c r="I108" i="17"/>
  <c r="A145" i="17"/>
  <c r="X149" i="17"/>
  <c r="N176" i="17"/>
  <c r="AF176" i="17"/>
  <c r="W166" i="17"/>
  <c r="W176" i="17"/>
  <c r="AF166" i="17"/>
  <c r="AF160" i="17"/>
  <c r="AF170" i="17"/>
  <c r="N170" i="17"/>
  <c r="W160" i="17"/>
  <c r="AQ159" i="17" l="1"/>
  <c r="N167" i="17" s="1"/>
  <c r="N168" i="17" s="1"/>
  <c r="AQ164" i="17"/>
  <c r="AQ95" i="17"/>
  <c r="AQ161" i="17"/>
  <c r="AF167" i="17" s="1"/>
  <c r="AF168" i="17" s="1"/>
  <c r="AQ162" i="17"/>
  <c r="N177" i="17" s="1"/>
  <c r="N178" i="17" s="1"/>
  <c r="AQ160" i="17"/>
  <c r="W167" i="17" s="1"/>
  <c r="W168" i="17" s="1"/>
  <c r="O89" i="17"/>
  <c r="AQ96" i="17"/>
  <c r="AA96" i="17" s="1"/>
  <c r="A59" i="17"/>
  <c r="AQ139" i="17"/>
  <c r="A56" i="17"/>
  <c r="A136" i="17"/>
  <c r="AA95" i="17"/>
  <c r="N165" i="17"/>
  <c r="W175" i="17" s="1"/>
  <c r="AQ145" i="17"/>
  <c r="AQ146" i="17" s="1"/>
  <c r="R149" i="17" s="1"/>
  <c r="A141" i="17"/>
  <c r="N162" i="17"/>
  <c r="W162" i="17" s="1"/>
  <c r="I95" i="17"/>
  <c r="N164" i="17"/>
  <c r="W164" i="17" s="1"/>
  <c r="A135" i="17"/>
  <c r="AF161" i="17"/>
  <c r="N171" i="17" s="1"/>
  <c r="J1" i="16" l="1"/>
  <c r="AQ140" i="17"/>
  <c r="A138" i="17" s="1"/>
  <c r="O1" i="17"/>
  <c r="AF177" i="17"/>
  <c r="AF178" i="17" s="1"/>
  <c r="I96" i="17"/>
  <c r="AQ163" i="17"/>
  <c r="W177" i="17" s="1"/>
  <c r="W178" i="17" s="1"/>
  <c r="W172" i="17"/>
  <c r="AF175" i="17"/>
  <c r="AF165" i="17"/>
  <c r="N175" i="17"/>
  <c r="W165" i="17"/>
  <c r="A142" i="17"/>
  <c r="AF162" i="17"/>
  <c r="AF164" i="17"/>
  <c r="N172" i="17"/>
  <c r="AF172" i="17" s="1"/>
  <c r="N174" i="17"/>
  <c r="AF174" i="17"/>
  <c r="B16" i="5"/>
  <c r="B14" i="5"/>
  <c r="G149" i="17" l="1"/>
  <c r="C5" i="18"/>
  <c r="A43" i="17" l="1"/>
  <c r="A42" i="17"/>
  <c r="A78" i="17"/>
  <c r="A156" i="17"/>
  <c r="A155" i="17"/>
  <c r="A131" i="17"/>
  <c r="A132" i="17"/>
</calcChain>
</file>

<file path=xl/sharedStrings.xml><?xml version="1.0" encoding="utf-8"?>
<sst xmlns="http://schemas.openxmlformats.org/spreadsheetml/2006/main" count="731" uniqueCount="627">
  <si>
    <t>申請に必要な書類</t>
    <rPh sb="0" eb="2">
      <t>シンセイ</t>
    </rPh>
    <rPh sb="3" eb="5">
      <t>ヒツヨウ</t>
    </rPh>
    <rPh sb="6" eb="8">
      <t>ショルイ</t>
    </rPh>
    <phoneticPr fontId="1"/>
  </si>
  <si>
    <t>×整理番号</t>
    <rPh sb="1" eb="3">
      <t>セイリ</t>
    </rPh>
    <rPh sb="3" eb="5">
      <t>バンゴウ</t>
    </rPh>
    <phoneticPr fontId="1"/>
  </si>
  <si>
    <t>×審査結果</t>
    <rPh sb="1" eb="3">
      <t>シンサ</t>
    </rPh>
    <rPh sb="3" eb="5">
      <t>ケッカ</t>
    </rPh>
    <phoneticPr fontId="1"/>
  </si>
  <si>
    <t>×受理年月日</t>
    <rPh sb="1" eb="3">
      <t>ジュリ</t>
    </rPh>
    <rPh sb="3" eb="6">
      <t>ネンガッピ</t>
    </rPh>
    <phoneticPr fontId="1"/>
  </si>
  <si>
    <t>×認定番号</t>
    <rPh sb="1" eb="3">
      <t>ニンテイ</t>
    </rPh>
    <rPh sb="3" eb="5">
      <t>バンゴウ</t>
    </rPh>
    <phoneticPr fontId="1"/>
  </si>
  <si>
    <t>保安機関認定更新申請書</t>
    <rPh sb="0" eb="2">
      <t>ホアン</t>
    </rPh>
    <rPh sb="2" eb="4">
      <t>キカン</t>
    </rPh>
    <rPh sb="4" eb="6">
      <t>ニンテイ</t>
    </rPh>
    <rPh sb="6" eb="8">
      <t>コウシン</t>
    </rPh>
    <rPh sb="8" eb="11">
      <t>シンセイショ</t>
    </rPh>
    <phoneticPr fontId="1"/>
  </si>
  <si>
    <t>たいので、次のとおり申請します。</t>
    <rPh sb="5" eb="6">
      <t>ツギ</t>
    </rPh>
    <rPh sb="10" eb="12">
      <t>シンセイ</t>
    </rPh>
    <phoneticPr fontId="1"/>
  </si>
  <si>
    <t>１ 保安業務に係る事業所の名称及び所在地</t>
    <phoneticPr fontId="1"/>
  </si>
  <si>
    <t>２ 更新を受けようとする保安業務区分</t>
    <phoneticPr fontId="1"/>
  </si>
  <si>
    <t>（備考）１ この用紙の大きさは、日本産業規格Ａ４とすること。</t>
    <phoneticPr fontId="1"/>
  </si>
  <si>
    <t>　　　　２ ×印の項は記載しないこと。</t>
    <phoneticPr fontId="1"/>
  </si>
  <si>
    <t xml:space="preserve">年 　月 　日 </t>
    <rPh sb="0" eb="1">
      <t>ネン</t>
    </rPh>
    <rPh sb="3" eb="4">
      <t>ツキ</t>
    </rPh>
    <rPh sb="6" eb="7">
      <t>ニチ</t>
    </rPh>
    <phoneticPr fontId="1"/>
  </si>
  <si>
    <t>　液化石油ガスの保安の確保及び取引の適正化に関する法律第 32 条第１項の更新の認定を受け</t>
    <phoneticPr fontId="1"/>
  </si>
  <si>
    <t>様式第 14（第34条関係）</t>
    <rPh sb="0" eb="2">
      <t>ヨウシキ</t>
    </rPh>
    <rPh sb="2" eb="3">
      <t>ダイ</t>
    </rPh>
    <rPh sb="7" eb="8">
      <t>ダイ</t>
    </rPh>
    <rPh sb="10" eb="11">
      <t>ジョウ</t>
    </rPh>
    <rPh sb="11" eb="13">
      <t>カンケイ</t>
    </rPh>
    <phoneticPr fontId="1"/>
  </si>
  <si>
    <t>保安業務区分</t>
    <rPh sb="0" eb="2">
      <t>ホアン</t>
    </rPh>
    <rPh sb="2" eb="4">
      <t>ギョウム</t>
    </rPh>
    <rPh sb="4" eb="6">
      <t>クブン</t>
    </rPh>
    <phoneticPr fontId="1"/>
  </si>
  <si>
    <t>一般消費者等の数</t>
    <rPh sb="0" eb="2">
      <t>イッパン</t>
    </rPh>
    <rPh sb="2" eb="5">
      <t>ショウヒシャ</t>
    </rPh>
    <rPh sb="5" eb="6">
      <t>トウ</t>
    </rPh>
    <rPh sb="7" eb="8">
      <t>カズ</t>
    </rPh>
    <phoneticPr fontId="1"/>
  </si>
  <si>
    <t>調査員の数</t>
    <rPh sb="0" eb="2">
      <t>チョウサ</t>
    </rPh>
    <rPh sb="2" eb="3">
      <t>イン</t>
    </rPh>
    <rPh sb="4" eb="5">
      <t>カズ</t>
    </rPh>
    <phoneticPr fontId="1"/>
  </si>
  <si>
    <t>保安業務資格者及び調査員以外の者で
あって保安業務に従事する者</t>
    <rPh sb="0" eb="2">
      <t>ホアン</t>
    </rPh>
    <rPh sb="2" eb="4">
      <t>ギョウム</t>
    </rPh>
    <rPh sb="4" eb="7">
      <t>シカクシャ</t>
    </rPh>
    <rPh sb="7" eb="8">
      <t>オヨ</t>
    </rPh>
    <rPh sb="9" eb="11">
      <t>チョウサ</t>
    </rPh>
    <rPh sb="11" eb="12">
      <t>イン</t>
    </rPh>
    <rPh sb="12" eb="14">
      <t>イガイ</t>
    </rPh>
    <rPh sb="15" eb="16">
      <t>モノ</t>
    </rPh>
    <rPh sb="21" eb="23">
      <t>ホアン</t>
    </rPh>
    <rPh sb="23" eb="25">
      <t>ギョウム</t>
    </rPh>
    <rPh sb="26" eb="28">
      <t>ジュウジ</t>
    </rPh>
    <rPh sb="30" eb="31">
      <t>モノ</t>
    </rPh>
    <phoneticPr fontId="1"/>
  </si>
  <si>
    <t>年間実働日数又は平均月間実働日数</t>
    <rPh sb="0" eb="2">
      <t>ネンカン</t>
    </rPh>
    <rPh sb="2" eb="4">
      <t>ジツドウ</t>
    </rPh>
    <rPh sb="4" eb="6">
      <t>ニッスウ</t>
    </rPh>
    <rPh sb="6" eb="7">
      <t>マタ</t>
    </rPh>
    <rPh sb="8" eb="10">
      <t>ヘイキン</t>
    </rPh>
    <rPh sb="10" eb="12">
      <t>ゲッカン</t>
    </rPh>
    <rPh sb="12" eb="14">
      <t>ジツドウ</t>
    </rPh>
    <rPh sb="14" eb="16">
      <t>ニッスウ</t>
    </rPh>
    <phoneticPr fontId="1"/>
  </si>
  <si>
    <t>保安業務用機器</t>
    <rPh sb="0" eb="2">
      <t>ホアン</t>
    </rPh>
    <rPh sb="2" eb="5">
      <t>ギョウムヨウ</t>
    </rPh>
    <rPh sb="5" eb="7">
      <t>キキ</t>
    </rPh>
    <phoneticPr fontId="1"/>
  </si>
  <si>
    <t>自記圧力計</t>
    <rPh sb="0" eb="2">
      <t>ジキ</t>
    </rPh>
    <rPh sb="2" eb="5">
      <t>アツリョクケイ</t>
    </rPh>
    <phoneticPr fontId="1"/>
  </si>
  <si>
    <t>マノメータ</t>
    <phoneticPr fontId="1"/>
  </si>
  <si>
    <t>ガス検知器</t>
    <rPh sb="2" eb="5">
      <t>ケンチキ</t>
    </rPh>
    <phoneticPr fontId="1"/>
  </si>
  <si>
    <t>漏えい検知液</t>
    <rPh sb="0" eb="1">
      <t>ロウ</t>
    </rPh>
    <rPh sb="3" eb="5">
      <t>ケンチ</t>
    </rPh>
    <rPh sb="5" eb="6">
      <t>エキ</t>
    </rPh>
    <phoneticPr fontId="1"/>
  </si>
  <si>
    <t>緊急工具類</t>
    <rPh sb="0" eb="2">
      <t>キンキュウ</t>
    </rPh>
    <rPh sb="2" eb="4">
      <t>コウグ</t>
    </rPh>
    <rPh sb="4" eb="5">
      <t>ルイ</t>
    </rPh>
    <phoneticPr fontId="1"/>
  </si>
  <si>
    <t>一酸化炭素測定器</t>
    <rPh sb="0" eb="3">
      <t>イッサンカ</t>
    </rPh>
    <rPh sb="3" eb="5">
      <t>タンソ</t>
    </rPh>
    <rPh sb="5" eb="8">
      <t>ソクテイキ</t>
    </rPh>
    <phoneticPr fontId="1"/>
  </si>
  <si>
    <t>ボーリングバー</t>
    <phoneticPr fontId="1"/>
  </si>
  <si>
    <t>緊急時対応を行う場合にあってはその
方法</t>
    <rPh sb="0" eb="3">
      <t>キンキュウジ</t>
    </rPh>
    <rPh sb="3" eb="5">
      <t>タイオウ</t>
    </rPh>
    <rPh sb="6" eb="7">
      <t>オコナ</t>
    </rPh>
    <rPh sb="8" eb="10">
      <t>バアイ</t>
    </rPh>
    <rPh sb="18" eb="20">
      <t>ホウホウ</t>
    </rPh>
    <phoneticPr fontId="1"/>
  </si>
  <si>
    <t>供給開始時
点検・調査</t>
    <rPh sb="0" eb="2">
      <t>キョウキュウ</t>
    </rPh>
    <rPh sb="2" eb="4">
      <t>カイシ</t>
    </rPh>
    <rPh sb="4" eb="5">
      <t>ジ</t>
    </rPh>
    <rPh sb="6" eb="8">
      <t>テンケン</t>
    </rPh>
    <rPh sb="9" eb="11">
      <t>チョウサ</t>
    </rPh>
    <phoneticPr fontId="1"/>
  </si>
  <si>
    <t>容器交換時等
供給設備点検</t>
    <rPh sb="0" eb="2">
      <t>ヨウキ</t>
    </rPh>
    <rPh sb="2" eb="4">
      <t>コウカン</t>
    </rPh>
    <rPh sb="4" eb="5">
      <t>ジ</t>
    </rPh>
    <rPh sb="5" eb="6">
      <t>トウ</t>
    </rPh>
    <rPh sb="7" eb="9">
      <t>キョウキュウ</t>
    </rPh>
    <rPh sb="9" eb="11">
      <t>セツビ</t>
    </rPh>
    <rPh sb="11" eb="13">
      <t>テンケン</t>
    </rPh>
    <phoneticPr fontId="1"/>
  </si>
  <si>
    <t>定期供給設備
点検</t>
    <rPh sb="0" eb="2">
      <t>テイキ</t>
    </rPh>
    <rPh sb="2" eb="4">
      <t>キョウキュウ</t>
    </rPh>
    <rPh sb="4" eb="6">
      <t>セツビ</t>
    </rPh>
    <rPh sb="7" eb="9">
      <t>テンケン</t>
    </rPh>
    <phoneticPr fontId="1"/>
  </si>
  <si>
    <t>定期消費設備
調査</t>
    <rPh sb="0" eb="2">
      <t>テイキ</t>
    </rPh>
    <rPh sb="2" eb="4">
      <t>ショウヒ</t>
    </rPh>
    <rPh sb="4" eb="6">
      <t>セツビ</t>
    </rPh>
    <rPh sb="7" eb="9">
      <t>チョウサ</t>
    </rPh>
    <phoneticPr fontId="1"/>
  </si>
  <si>
    <t>周知</t>
    <rPh sb="0" eb="2">
      <t>シュウチ</t>
    </rPh>
    <phoneticPr fontId="1"/>
  </si>
  <si>
    <t>緊急時対応</t>
    <rPh sb="0" eb="3">
      <t>キンキュウジ</t>
    </rPh>
    <rPh sb="3" eb="5">
      <t>タイオウ</t>
    </rPh>
    <phoneticPr fontId="1"/>
  </si>
  <si>
    <t>緊急時連絡</t>
    <rPh sb="0" eb="3">
      <t>キンキュウジ</t>
    </rPh>
    <rPh sb="3" eb="5">
      <t>レンラク</t>
    </rPh>
    <phoneticPr fontId="1"/>
  </si>
  <si>
    <t>（備考）　１　この用紙の大きさは、日本産業規格Ａ４とすること。</t>
    <phoneticPr fontId="1"/>
  </si>
  <si>
    <t>　　　　　２　事業所ごとに記載すること。</t>
    <phoneticPr fontId="1"/>
  </si>
  <si>
    <t>保安業務資格者の数</t>
    <rPh sb="0" eb="2">
      <t>ホアン</t>
    </rPh>
    <rPh sb="2" eb="4">
      <t>ギョウム</t>
    </rPh>
    <rPh sb="4" eb="7">
      <t>シカクシャ</t>
    </rPh>
    <rPh sb="8" eb="9">
      <t>カズ</t>
    </rPh>
    <phoneticPr fontId="1"/>
  </si>
  <si>
    <t>保 安 業 務 計 画 書</t>
    <rPh sb="0" eb="1">
      <t>ホ</t>
    </rPh>
    <rPh sb="2" eb="3">
      <t>ヤス</t>
    </rPh>
    <rPh sb="4" eb="5">
      <t>ギョウ</t>
    </rPh>
    <rPh sb="6" eb="7">
      <t>ツトム</t>
    </rPh>
    <rPh sb="8" eb="9">
      <t>ケイ</t>
    </rPh>
    <rPh sb="10" eb="11">
      <t>ガ</t>
    </rPh>
    <rPh sb="12" eb="13">
      <t>ショ</t>
    </rPh>
    <phoneticPr fontId="1"/>
  </si>
  <si>
    <t>様式第 13（第 30 条関係）</t>
  </si>
  <si>
    <t>保安機関の説明書</t>
    <rPh sb="0" eb="2">
      <t>ホアン</t>
    </rPh>
    <rPh sb="2" eb="4">
      <t>キカン</t>
    </rPh>
    <rPh sb="5" eb="8">
      <t>セツメイショ</t>
    </rPh>
    <phoneticPr fontId="1"/>
  </si>
  <si>
    <t>1. 事業者の説明</t>
    <phoneticPr fontId="1"/>
  </si>
  <si>
    <t>区分</t>
    <rPh sb="0" eb="2">
      <t>クブン</t>
    </rPh>
    <phoneticPr fontId="1"/>
  </si>
  <si>
    <t xml:space="preserve"> (1) 事業者の種類（規則第33条に定めるもの）</t>
    <phoneticPr fontId="1"/>
  </si>
  <si>
    <t>個人</t>
  </si>
  <si>
    <t>一般社団法人</t>
  </si>
  <si>
    <t>株式会社</t>
  </si>
  <si>
    <t>合名会社、合資会社、合同会社</t>
  </si>
  <si>
    <t>事業協同組合、事業協同小組合、企業組合、農業協同組合</t>
  </si>
  <si>
    <t>協同組合連合会、農業協同組合連合会</t>
  </si>
  <si>
    <t>その他の法人</t>
  </si>
  <si>
    <t>－</t>
  </si>
  <si>
    <t>社員</t>
  </si>
  <si>
    <t>株主</t>
  </si>
  <si>
    <t>組合員</t>
  </si>
  <si>
    <t>直接又は間接にこれらを</t>
  </si>
  <si>
    <t>上記に掲げる者に類する</t>
  </si>
  <si>
    <t>2. 保安業務の形態</t>
    <phoneticPr fontId="1"/>
  </si>
  <si>
    <t>組織の種類</t>
    <rPh sb="0" eb="2">
      <t>ソシキ</t>
    </rPh>
    <rPh sb="3" eb="5">
      <t>シュルイ</t>
    </rPh>
    <phoneticPr fontId="1"/>
  </si>
  <si>
    <t>構成員</t>
    <rPh sb="0" eb="2">
      <t>コウセイ</t>
    </rPh>
    <rPh sb="2" eb="3">
      <t>イン</t>
    </rPh>
    <phoneticPr fontId="1"/>
  </si>
  <si>
    <t>構成する者</t>
    <rPh sb="0" eb="2">
      <t>コウセイ</t>
    </rPh>
    <rPh sb="4" eb="5">
      <t>モノ</t>
    </rPh>
    <phoneticPr fontId="1"/>
  </si>
  <si>
    <t>もの</t>
    <phoneticPr fontId="1"/>
  </si>
  <si>
    <t>滋LP様式第 13-1</t>
    <rPh sb="0" eb="1">
      <t>ジ</t>
    </rPh>
    <rPh sb="3" eb="5">
      <t>ヨウシキ</t>
    </rPh>
    <rPh sb="5" eb="6">
      <t>ダイ</t>
    </rPh>
    <phoneticPr fontId="1"/>
  </si>
  <si>
    <t>(戸)</t>
    <rPh sb="1" eb="2">
      <t>コ</t>
    </rPh>
    <phoneticPr fontId="1"/>
  </si>
  <si>
    <t>滋LP様式第 13-2</t>
    <rPh sb="0" eb="1">
      <t>ジ</t>
    </rPh>
    <rPh sb="3" eb="5">
      <t>ヨウシキ</t>
    </rPh>
    <rPh sb="5" eb="6">
      <t>ダイ</t>
    </rPh>
    <phoneticPr fontId="1"/>
  </si>
  <si>
    <t>事業所の位置及び緊急時対応を行おうとする一般消費者等の範囲を示した図面</t>
    <rPh sb="0" eb="3">
      <t>ジギョウショ</t>
    </rPh>
    <rPh sb="4" eb="6">
      <t>イチ</t>
    </rPh>
    <rPh sb="6" eb="7">
      <t>オヨ</t>
    </rPh>
    <rPh sb="8" eb="11">
      <t>キンキュウジ</t>
    </rPh>
    <rPh sb="11" eb="13">
      <t>タイオウ</t>
    </rPh>
    <rPh sb="14" eb="15">
      <t>オコナ</t>
    </rPh>
    <rPh sb="20" eb="22">
      <t>イッパン</t>
    </rPh>
    <rPh sb="22" eb="25">
      <t>ショウヒシャ</t>
    </rPh>
    <rPh sb="25" eb="26">
      <t>トウ</t>
    </rPh>
    <rPh sb="27" eb="29">
      <t>ハンイ</t>
    </rPh>
    <rPh sb="30" eb="31">
      <t>シメ</t>
    </rPh>
    <rPh sb="33" eb="35">
      <t>ズメン</t>
    </rPh>
    <phoneticPr fontId="1"/>
  </si>
  <si>
    <t>（事業所の所在地および緊急時対応を行おうとする一般消費者等の範囲を示した図面を添付）</t>
    <phoneticPr fontId="1"/>
  </si>
  <si>
    <t>(備考)　１　事業所ごとに記載する。</t>
  </si>
  <si>
    <t>(備考)　１　事業所ごとに記載する。</t>
    <phoneticPr fontId="1"/>
  </si>
  <si>
    <t>　　　　２　事業所の位置および事業所から30分以内で緊急時対応を行える地理的範囲を記載する。</t>
    <phoneticPr fontId="1"/>
  </si>
  <si>
    <t>滋LP様式第 13-3</t>
    <rPh sb="0" eb="1">
      <t>ジ</t>
    </rPh>
    <rPh sb="3" eb="5">
      <t>ヨウシキ</t>
    </rPh>
    <rPh sb="5" eb="6">
      <t>ダイ</t>
    </rPh>
    <phoneticPr fontId="1"/>
  </si>
  <si>
    <t>緊急時対応の方法を説明した書面</t>
    <phoneticPr fontId="1"/>
  </si>
  <si>
    <t>1. 出動するための手段とその専有状況</t>
    <phoneticPr fontId="1"/>
  </si>
  <si>
    <t>2. 緊急時の連絡の受信方法</t>
    <phoneticPr fontId="1"/>
  </si>
  <si>
    <t>滋LP様式第 13-4</t>
    <rPh sb="0" eb="1">
      <t>ジ</t>
    </rPh>
    <rPh sb="3" eb="5">
      <t>ヨウシキ</t>
    </rPh>
    <rPh sb="5" eb="6">
      <t>ダイ</t>
    </rPh>
    <phoneticPr fontId="1"/>
  </si>
  <si>
    <t>1. 自社が販売する一般消費者等に対する保安業務による損害賠償の内容</t>
    <phoneticPr fontId="1"/>
  </si>
  <si>
    <t>2. 他の液化石油ガス販売事業者から委託を受ける保安業務による損害賠償の内容</t>
    <phoneticPr fontId="1"/>
  </si>
  <si>
    <t>(備考)　１　上記の事項がわかる保険に加入していることを証する書面、付保証明書、保険契約書、</t>
    <phoneticPr fontId="1"/>
  </si>
  <si>
    <t>　　　　　約款、領収書等を添付する。</t>
    <phoneticPr fontId="1"/>
  </si>
  <si>
    <t>液化石油ガスによる災害により支払うことのある損害賠償の支払い能力を証する書面</t>
    <phoneticPr fontId="1"/>
  </si>
  <si>
    <t>滋LP様式第 13-5</t>
    <rPh sb="0" eb="1">
      <t>ジ</t>
    </rPh>
    <rPh sb="3" eb="5">
      <t>ヨウシキ</t>
    </rPh>
    <rPh sb="5" eb="6">
      <t>ダイ</t>
    </rPh>
    <phoneticPr fontId="1"/>
  </si>
  <si>
    <t>役員及び規則第33条に定める構成員の構成を説明した書面</t>
    <phoneticPr fontId="1"/>
  </si>
  <si>
    <t>1. 役員構成および履歴</t>
    <phoneticPr fontId="1"/>
  </si>
  <si>
    <t>氏名</t>
    <rPh sb="0" eb="2">
      <t>シメイ</t>
    </rPh>
    <phoneticPr fontId="1"/>
  </si>
  <si>
    <t>履歴</t>
    <rPh sb="0" eb="2">
      <t>リレキ</t>
    </rPh>
    <phoneticPr fontId="1"/>
  </si>
  <si>
    <t>※1の</t>
    <phoneticPr fontId="1"/>
  </si>
  <si>
    <t>該当有無</t>
    <rPh sb="0" eb="2">
      <t>ガイトウ</t>
    </rPh>
    <rPh sb="2" eb="4">
      <t>ウム</t>
    </rPh>
    <phoneticPr fontId="1"/>
  </si>
  <si>
    <t>2. 構成員の状況</t>
    <phoneticPr fontId="1"/>
  </si>
  <si>
    <t>構成員の氏名または名称</t>
    <rPh sb="0" eb="2">
      <t>コウセイ</t>
    </rPh>
    <rPh sb="2" eb="3">
      <t>イン</t>
    </rPh>
    <rPh sb="4" eb="6">
      <t>シメイ</t>
    </rPh>
    <rPh sb="9" eb="11">
      <t>メイショウ</t>
    </rPh>
    <phoneticPr fontId="1"/>
  </si>
  <si>
    <t>持株比率</t>
    <rPh sb="0" eb="1">
      <t>モ</t>
    </rPh>
    <rPh sb="1" eb="2">
      <t>カブ</t>
    </rPh>
    <rPh sb="2" eb="4">
      <t>ヒリツ</t>
    </rPh>
    <phoneticPr fontId="1"/>
  </si>
  <si>
    <t>(%)※2</t>
    <phoneticPr fontId="1"/>
  </si>
  <si>
    <t>※1の</t>
    <phoneticPr fontId="1"/>
  </si>
  <si>
    <t>職名</t>
    <rPh sb="0" eb="2">
      <t>ショクメイ</t>
    </rPh>
    <phoneticPr fontId="1"/>
  </si>
  <si>
    <t>※1　保安業務の公正な遂行に支障を及ぼすおそれのある以下の者</t>
    <phoneticPr fontId="1"/>
  </si>
  <si>
    <t>　　 (1) 液化石油ガス供給機器若しくは消費機器を製造する事業を主たる事業として行っている</t>
    <phoneticPr fontId="1"/>
  </si>
  <si>
    <t>　　　　 者又はその役職員</t>
  </si>
  <si>
    <t>　　　　 者又はその役職員</t>
    <phoneticPr fontId="1"/>
  </si>
  <si>
    <t>※2　株式会社は、保有する株が3%以上の者をすべて記載する。</t>
    <phoneticPr fontId="1"/>
  </si>
  <si>
    <t>　　 (2) 液化石油ガス供給機器若しくは消費機器を販売する事業を主たる事業として行っている</t>
    <phoneticPr fontId="1"/>
  </si>
  <si>
    <t>　　 (3) 液化石油ガス設備工事の事業を主たる事業として行っている者又はその役職員</t>
    <phoneticPr fontId="1"/>
  </si>
  <si>
    <t>　　　　２　通達で定める液化石油ガス供給機器、消費機器の製造・販売を主たる事業としている者</t>
    <phoneticPr fontId="1"/>
  </si>
  <si>
    <t>　　　　　及び液化石油ガス設備工事を主たる事業としている者が1/3を超えないものとする。</t>
    <phoneticPr fontId="1"/>
  </si>
  <si>
    <t>滋LP様式第 13-6</t>
    <rPh sb="0" eb="1">
      <t>ジ</t>
    </rPh>
    <rPh sb="3" eb="5">
      <t>ヨウシキ</t>
    </rPh>
    <rPh sb="5" eb="6">
      <t>ダイ</t>
    </rPh>
    <phoneticPr fontId="1"/>
  </si>
  <si>
    <t>保安業務以外の業務の種類及び概要を記載した書面</t>
    <phoneticPr fontId="1"/>
  </si>
  <si>
    <t>1. 保安業務以外の液化石油ガスに関する業務</t>
    <phoneticPr fontId="1"/>
  </si>
  <si>
    <t>2. 液化石油ガスに関する業務以外の業務内容</t>
    <phoneticPr fontId="1"/>
  </si>
  <si>
    <t>(備考)　１　法人にあっては、定款記載の業務のうち現に行っている業務を記載する。</t>
    <phoneticPr fontId="1"/>
  </si>
  <si>
    <t>該当</t>
    <rPh sb="0" eb="2">
      <t>ガイトウ</t>
    </rPh>
    <phoneticPr fontId="1"/>
  </si>
  <si>
    <t>業務内容</t>
    <rPh sb="0" eb="2">
      <t>ギョウム</t>
    </rPh>
    <rPh sb="2" eb="4">
      <t>ナイヨウ</t>
    </rPh>
    <phoneticPr fontId="1"/>
  </si>
  <si>
    <t>一般消費者等ＬＰガス販売</t>
    <phoneticPr fontId="1"/>
  </si>
  <si>
    <t>工業用ＬＰガス販売</t>
    <phoneticPr fontId="1"/>
  </si>
  <si>
    <t>ＬＰガス充填</t>
    <phoneticPr fontId="1"/>
  </si>
  <si>
    <t>ＬＰガス製造</t>
    <phoneticPr fontId="1"/>
  </si>
  <si>
    <t>ＬＰガス配送</t>
    <phoneticPr fontId="1"/>
  </si>
  <si>
    <t>ＬＰガス器具販売</t>
    <phoneticPr fontId="1"/>
  </si>
  <si>
    <t>ＬＰガス配管設備工事</t>
    <phoneticPr fontId="1"/>
  </si>
  <si>
    <t>※該当の欄には、実施している業務内容の全てに〇を記載する。</t>
    <phoneticPr fontId="1"/>
  </si>
  <si>
    <t>滋LP様式第 13-7</t>
    <rPh sb="0" eb="1">
      <t>ジ</t>
    </rPh>
    <rPh sb="3" eb="5">
      <t>ヨウシキ</t>
    </rPh>
    <rPh sb="5" eb="6">
      <t>ダイ</t>
    </rPh>
    <phoneticPr fontId="1"/>
  </si>
  <si>
    <t>欠格条項に該当しないことの誓約書（法人用）</t>
    <phoneticPr fontId="1"/>
  </si>
  <si>
    <t>滋賀県知事　様</t>
    <rPh sb="0" eb="3">
      <t>シガケン</t>
    </rPh>
    <rPh sb="3" eb="5">
      <t>チジ</t>
    </rPh>
    <rPh sb="6" eb="7">
      <t>サマ</t>
    </rPh>
    <phoneticPr fontId="1"/>
  </si>
  <si>
    <t>　下記の者は当社の業務を行う役員であり、液化石油ガスの保安の確保及び取引の適正化に関する法律</t>
    <phoneticPr fontId="1"/>
  </si>
  <si>
    <t>第30条に規定する欠格条項に当社及びその役員が該当しないことを誓約します。</t>
    <phoneticPr fontId="1"/>
  </si>
  <si>
    <t>現住所</t>
    <rPh sb="0" eb="3">
      <t>ゲンジュウショ</t>
    </rPh>
    <phoneticPr fontId="1"/>
  </si>
  <si>
    <t>法第30条に規定する欠格条項</t>
    <phoneticPr fontId="1"/>
  </si>
  <si>
    <t>１　この法律若しくは高圧ガス保安法又はこれらの法律に基づく命令の規定に違反し、罰金以上の刑</t>
    <phoneticPr fontId="1"/>
  </si>
  <si>
    <t>３　心身の故障により保安業務を適正に行うことができない者として経済産業省令で定める者</t>
    <phoneticPr fontId="1"/>
  </si>
  <si>
    <t>　　[経済産業省令]精神の機能の障害により保安業務を適切に行うに当たって必要な認知、判断及び</t>
    <phoneticPr fontId="1"/>
  </si>
  <si>
    <t>　・緊急時の連絡の受信場所：</t>
    <phoneticPr fontId="1"/>
  </si>
  <si>
    <t>　・事業所に保安業務資格者の常時(365日、24時間)配置</t>
    <phoneticPr fontId="1"/>
  </si>
  <si>
    <t>　・常時配置する保安業務資格者を事業所以外に配置する場合、事業所および全ての配置場所を図示</t>
    <phoneticPr fontId="1"/>
  </si>
  <si>
    <t>　※区分の欄には、該当する組織の種類に○を記載</t>
    <phoneticPr fontId="1"/>
  </si>
  <si>
    <t>　※組織の種類の詳細については、規則第33条を確認</t>
    <phoneticPr fontId="1"/>
  </si>
  <si>
    <t>滋LP様式第 13-8</t>
    <rPh sb="0" eb="1">
      <t>ジ</t>
    </rPh>
    <rPh sb="3" eb="5">
      <t>ヨウシキ</t>
    </rPh>
    <rPh sb="5" eb="6">
      <t>ダイ</t>
    </rPh>
    <phoneticPr fontId="1"/>
  </si>
  <si>
    <t>欠格条項に該当しないことの誓約書（個人用）</t>
    <rPh sb="17" eb="19">
      <t>コジン</t>
    </rPh>
    <phoneticPr fontId="1"/>
  </si>
  <si>
    <t>　液化石油ガスの保安の確保及び取引の適正化に関する法律第30条に規定する欠格条項に該当しない</t>
    <phoneticPr fontId="1"/>
  </si>
  <si>
    <t>ことを誓約します。</t>
    <phoneticPr fontId="1"/>
  </si>
  <si>
    <t>滋LP様式第 13-10</t>
    <rPh sb="0" eb="1">
      <t>ジ</t>
    </rPh>
    <rPh sb="3" eb="5">
      <t>ヨウシキ</t>
    </rPh>
    <rPh sb="5" eb="6">
      <t>ダイ</t>
    </rPh>
    <phoneticPr fontId="1"/>
  </si>
  <si>
    <t>保安業務資格者名簿および在籍証明書</t>
    <phoneticPr fontId="1"/>
  </si>
  <si>
    <t>　下記の者は、当事業者の経営者又は当事業者に雇用される者であり、当事業所の保安業務資格者とし</t>
    <phoneticPr fontId="1"/>
  </si>
  <si>
    <t>て下記の事業所に在籍していることを証明します。</t>
    <phoneticPr fontId="1"/>
  </si>
  <si>
    <t>免状の種類</t>
    <rPh sb="0" eb="2">
      <t>メンジョウ</t>
    </rPh>
    <rPh sb="3" eb="5">
      <t>シュルイ</t>
    </rPh>
    <phoneticPr fontId="1"/>
  </si>
  <si>
    <t>免状番号</t>
  </si>
  <si>
    <t>(備考)　１　免状の種類欄は、免状を重複所有している場合には、「液化石油ガス設備士免状」、「高圧</t>
    <phoneticPr fontId="1"/>
  </si>
  <si>
    <t>　　　　２　免状の写し（再講習受講記録を含む。）を添付する。</t>
    <phoneticPr fontId="1"/>
  </si>
  <si>
    <t>　　　　　ガス販売主任者免状(販Ⅱ)」､「高圧ガス製造保安責任者免状(乙化・丙化等)」､「業務主任</t>
    <phoneticPr fontId="1"/>
  </si>
  <si>
    <t>　　　　　順に１種類の免状だけを記載する。</t>
    <phoneticPr fontId="1"/>
  </si>
  <si>
    <t>滋LP様式第 13-11</t>
    <rPh sb="0" eb="1">
      <t>ジ</t>
    </rPh>
    <rPh sb="3" eb="5">
      <t>ヨウシキ</t>
    </rPh>
    <rPh sb="5" eb="6">
      <t>ダイ</t>
    </rPh>
    <phoneticPr fontId="1"/>
  </si>
  <si>
    <t>実務経験を必要とする保安業務資格者の実務経験を証する書面</t>
    <phoneticPr fontId="1"/>
  </si>
  <si>
    <t>実務経験の期間</t>
    <rPh sb="0" eb="2">
      <t>ジツム</t>
    </rPh>
    <rPh sb="2" eb="4">
      <t>ケイケン</t>
    </rPh>
    <rPh sb="5" eb="7">
      <t>キカン</t>
    </rPh>
    <phoneticPr fontId="1"/>
  </si>
  <si>
    <t>実務経験の内容</t>
    <rPh sb="0" eb="2">
      <t>ジツム</t>
    </rPh>
    <rPh sb="2" eb="4">
      <t>ケイケン</t>
    </rPh>
    <rPh sb="5" eb="7">
      <t>ナイヨウ</t>
    </rPh>
    <phoneticPr fontId="1"/>
  </si>
  <si>
    <t>(備考)　１　実務経験を必要とする保安業務資格者について記載する。</t>
    <phoneticPr fontId="1"/>
  </si>
  <si>
    <t>　　　　２　実務経験の内容は、「保安機関における供給設備の点検」、「保安機関における消費設備の</t>
    <phoneticPr fontId="1"/>
  </si>
  <si>
    <t>　　　　　調査」、「高圧ガスの製造」、「高圧ガスの販売」のいずれかを記載する。</t>
    <phoneticPr fontId="1"/>
  </si>
  <si>
    <t>滋LP様式第 13-12</t>
    <rPh sb="0" eb="1">
      <t>ジ</t>
    </rPh>
    <rPh sb="3" eb="5">
      <t>ヨウシキ</t>
    </rPh>
    <rPh sb="5" eb="6">
      <t>ダイ</t>
    </rPh>
    <phoneticPr fontId="1"/>
  </si>
  <si>
    <t>保安業務用機器の専有証明書</t>
    <phoneticPr fontId="1"/>
  </si>
  <si>
    <t>　当事業所は、下記の保安業務用機器を専有しており、使用する必要があるときは常に使用できる状態</t>
    <phoneticPr fontId="1"/>
  </si>
  <si>
    <t>にあることを証明します。</t>
    <phoneticPr fontId="1"/>
  </si>
  <si>
    <t>保安業務用機器名</t>
    <rPh sb="0" eb="2">
      <t>ホアン</t>
    </rPh>
    <rPh sb="2" eb="5">
      <t>ギョウムヨウ</t>
    </rPh>
    <rPh sb="5" eb="7">
      <t>キキ</t>
    </rPh>
    <rPh sb="7" eb="8">
      <t>メイ</t>
    </rPh>
    <phoneticPr fontId="1"/>
  </si>
  <si>
    <t>形式等</t>
    <rPh sb="0" eb="1">
      <t>カタ</t>
    </rPh>
    <rPh sb="1" eb="2">
      <t>シキ</t>
    </rPh>
    <rPh sb="2" eb="3">
      <t>トウ</t>
    </rPh>
    <phoneticPr fontId="1"/>
  </si>
  <si>
    <t>製造番号</t>
  </si>
  <si>
    <t>製造年月</t>
    <rPh sb="0" eb="2">
      <t>セイゾウ</t>
    </rPh>
    <rPh sb="2" eb="4">
      <t>ネンゲツ</t>
    </rPh>
    <phoneticPr fontId="1"/>
  </si>
  <si>
    <t>台数</t>
    <rPh sb="0" eb="2">
      <t>ダイスウ</t>
    </rPh>
    <phoneticPr fontId="1"/>
  </si>
  <si>
    <t>　　　　２　保安業務用機器名には、自記圧力計(機械式)、自記圧力計(電気式)、マノメータ、ガス検</t>
    <phoneticPr fontId="1"/>
  </si>
  <si>
    <t>　　　　　知器、漏えい検知液、緊急工具類、一酸化炭素測定器、ボーリングバーを記載する。</t>
    <phoneticPr fontId="1"/>
  </si>
  <si>
    <t>　　　　３　自記圧力計については、直近の精度を有する圧力計との比較検査の記録を添付する。た</t>
    <phoneticPr fontId="1"/>
  </si>
  <si>
    <t>　　　　　だし、製造から液化石油ガスの保安の確保及び取引の適正化に関する法律施行規則の例示</t>
    <phoneticPr fontId="1"/>
  </si>
  <si>
    <t>　　　　　基準第29節に示す比較検査の期間を経過していないものは添付不要。</t>
    <phoneticPr fontId="1"/>
  </si>
  <si>
    <t>　　　　４　上記に記載の保安業務用機器について写真を添付する。</t>
    <phoneticPr fontId="1"/>
  </si>
  <si>
    <t>滋LP様式第 13-9</t>
    <rPh sb="0" eb="1">
      <t>ジ</t>
    </rPh>
    <rPh sb="3" eb="5">
      <t>ヨウシキ</t>
    </rPh>
    <rPh sb="5" eb="6">
      <t>ダイ</t>
    </rPh>
    <phoneticPr fontId="1"/>
  </si>
  <si>
    <t>保安業務に係る技術的能力の算定書</t>
    <phoneticPr fontId="1"/>
  </si>
  <si>
    <t>イ　供給開始時点検・調査</t>
    <rPh sb="2" eb="4">
      <t>キョウキュウ</t>
    </rPh>
    <rPh sb="4" eb="6">
      <t>カイシ</t>
    </rPh>
    <rPh sb="6" eb="7">
      <t>ジ</t>
    </rPh>
    <rPh sb="7" eb="9">
      <t>テンケン</t>
    </rPh>
    <rPh sb="10" eb="12">
      <t>チョウサ</t>
    </rPh>
    <phoneticPr fontId="1"/>
  </si>
  <si>
    <t>ロ　容器交換時等供給設備点検</t>
    <rPh sb="2" eb="4">
      <t>ヨウキ</t>
    </rPh>
    <rPh sb="4" eb="6">
      <t>コウカン</t>
    </rPh>
    <rPh sb="6" eb="7">
      <t>ジ</t>
    </rPh>
    <rPh sb="7" eb="8">
      <t>トウ</t>
    </rPh>
    <rPh sb="8" eb="10">
      <t>キョウキュウ</t>
    </rPh>
    <rPh sb="10" eb="12">
      <t>セツビ</t>
    </rPh>
    <rPh sb="12" eb="14">
      <t>テンケン</t>
    </rPh>
    <phoneticPr fontId="1"/>
  </si>
  <si>
    <t>ハ　定期供給設備点検</t>
    <rPh sb="2" eb="4">
      <t>テイキ</t>
    </rPh>
    <rPh sb="4" eb="6">
      <t>キョウキュウ</t>
    </rPh>
    <rPh sb="6" eb="8">
      <t>セツビ</t>
    </rPh>
    <rPh sb="8" eb="10">
      <t>テンケン</t>
    </rPh>
    <phoneticPr fontId="1"/>
  </si>
  <si>
    <t>ホ　周知</t>
    <rPh sb="2" eb="4">
      <t>シュウチ</t>
    </rPh>
    <phoneticPr fontId="1"/>
  </si>
  <si>
    <t>ロ、ハ、二のいずれかの保安業務と</t>
    <rPh sb="4" eb="5">
      <t>ニ</t>
    </rPh>
    <rPh sb="11" eb="13">
      <t>ホアン</t>
    </rPh>
    <rPh sb="13" eb="15">
      <t>ギョウム</t>
    </rPh>
    <phoneticPr fontId="1"/>
  </si>
  <si>
    <t>左記以外</t>
    <rPh sb="0" eb="2">
      <t>サキ</t>
    </rPh>
    <rPh sb="2" eb="4">
      <t>イガイ</t>
    </rPh>
    <phoneticPr fontId="1"/>
  </si>
  <si>
    <t>ヘ　緊急時対応</t>
    <rPh sb="2" eb="5">
      <t>キンキュウジ</t>
    </rPh>
    <rPh sb="5" eb="7">
      <t>タイオウ</t>
    </rPh>
    <phoneticPr fontId="1"/>
  </si>
  <si>
    <t>ト　緊急時連絡</t>
    <rPh sb="2" eb="5">
      <t>キンキュウジ</t>
    </rPh>
    <rPh sb="5" eb="7">
      <t>レンラク</t>
    </rPh>
    <phoneticPr fontId="1"/>
  </si>
  <si>
    <t>　おわり</t>
    <phoneticPr fontId="1"/>
  </si>
  <si>
    <t>計算値</t>
    <rPh sb="0" eb="3">
      <t>ケイサンチ</t>
    </rPh>
    <phoneticPr fontId="1"/>
  </si>
  <si>
    <t>実際の数</t>
    <rPh sb="0" eb="2">
      <t>ジッサイ</t>
    </rPh>
    <rPh sb="3" eb="4">
      <t>カズ</t>
    </rPh>
    <phoneticPr fontId="1"/>
  </si>
  <si>
    <t>保安業務資格者等数</t>
    <rPh sb="0" eb="2">
      <t>ホアン</t>
    </rPh>
    <rPh sb="2" eb="4">
      <t>ギョウム</t>
    </rPh>
    <rPh sb="4" eb="7">
      <t>シカクシャ</t>
    </rPh>
    <rPh sb="7" eb="8">
      <t>トウ</t>
    </rPh>
    <rPh sb="8" eb="9">
      <t>スウ</t>
    </rPh>
    <phoneticPr fontId="1"/>
  </si>
  <si>
    <t>補助員数</t>
    <rPh sb="0" eb="3">
      <t>ホジョイン</t>
    </rPh>
    <rPh sb="3" eb="4">
      <t>スウ</t>
    </rPh>
    <phoneticPr fontId="1"/>
  </si>
  <si>
    <t>緊急時対応の常駐者数</t>
    <rPh sb="0" eb="3">
      <t>キンキュウジ</t>
    </rPh>
    <rPh sb="3" eb="5">
      <t>タイオウ</t>
    </rPh>
    <rPh sb="6" eb="8">
      <t>ジョウチュウ</t>
    </rPh>
    <rPh sb="8" eb="9">
      <t>シャ</t>
    </rPh>
    <rPh sb="9" eb="10">
      <t>スウ</t>
    </rPh>
    <phoneticPr fontId="1"/>
  </si>
  <si>
    <t>　　保安業務資格者は、少なくとも1人は第二種販売主任者免状又は液化石油ガス設備士免</t>
    <phoneticPr fontId="1"/>
  </si>
  <si>
    <t>　状の交付を受けている者であること。</t>
    <phoneticPr fontId="1"/>
  </si>
  <si>
    <t>ニ　定期消費設備調査</t>
    <rPh sb="2" eb="4">
      <t>テイキ</t>
    </rPh>
    <rPh sb="4" eb="6">
      <t>ショウヒ</t>
    </rPh>
    <rPh sb="6" eb="8">
      <t>セツビ</t>
    </rPh>
    <rPh sb="8" eb="10">
      <t>チョウサ</t>
    </rPh>
    <phoneticPr fontId="1"/>
  </si>
  <si>
    <t>供給開始時点検・調査</t>
    <rPh sb="0" eb="2">
      <t>キョウキュウ</t>
    </rPh>
    <rPh sb="2" eb="4">
      <t>カイシ</t>
    </rPh>
    <rPh sb="4" eb="5">
      <t>ジ</t>
    </rPh>
    <rPh sb="5" eb="7">
      <t>テンケン</t>
    </rPh>
    <rPh sb="8" eb="10">
      <t>チョウサ</t>
    </rPh>
    <phoneticPr fontId="1"/>
  </si>
  <si>
    <t>容器交換時等供給設備点検</t>
    <rPh sb="0" eb="2">
      <t>ヨウキ</t>
    </rPh>
    <rPh sb="2" eb="4">
      <t>コウカン</t>
    </rPh>
    <rPh sb="4" eb="5">
      <t>ジ</t>
    </rPh>
    <rPh sb="5" eb="6">
      <t>トウ</t>
    </rPh>
    <rPh sb="6" eb="8">
      <t>キョウキュウ</t>
    </rPh>
    <rPh sb="8" eb="10">
      <t>セツビ</t>
    </rPh>
    <rPh sb="10" eb="12">
      <t>テンケン</t>
    </rPh>
    <phoneticPr fontId="1"/>
  </si>
  <si>
    <t>定期供給設備点検</t>
    <rPh sb="0" eb="2">
      <t>テイキ</t>
    </rPh>
    <rPh sb="2" eb="4">
      <t>キョウキュウ</t>
    </rPh>
    <rPh sb="4" eb="6">
      <t>セツビ</t>
    </rPh>
    <rPh sb="6" eb="8">
      <t>テンケン</t>
    </rPh>
    <phoneticPr fontId="1"/>
  </si>
  <si>
    <t>定期消費設備調査</t>
    <rPh sb="0" eb="2">
      <t>テイキ</t>
    </rPh>
    <rPh sb="2" eb="4">
      <t>ショウヒ</t>
    </rPh>
    <rPh sb="4" eb="6">
      <t>セツビ</t>
    </rPh>
    <rPh sb="6" eb="8">
      <t>チョウサ</t>
    </rPh>
    <phoneticPr fontId="1"/>
  </si>
  <si>
    <t>ガス検知器</t>
  </si>
  <si>
    <t>漏えい検知液</t>
  </si>
  <si>
    <t>必　要　数</t>
    <rPh sb="0" eb="1">
      <t>ヒツ</t>
    </rPh>
    <rPh sb="2" eb="3">
      <t>ヨウ</t>
    </rPh>
    <rPh sb="4" eb="5">
      <t>スウ</t>
    </rPh>
    <phoneticPr fontId="1"/>
  </si>
  <si>
    <t>合　　　計</t>
    <rPh sb="0" eb="1">
      <t>ゴウ</t>
    </rPh>
    <rPh sb="4" eb="5">
      <t>ケイ</t>
    </rPh>
    <phoneticPr fontId="1"/>
  </si>
  <si>
    <t>自記圧力計又は</t>
    <rPh sb="5" eb="6">
      <t>マタ</t>
    </rPh>
    <phoneticPr fontId="1"/>
  </si>
  <si>
    <t>ボーリングバー</t>
    <phoneticPr fontId="1"/>
  </si>
  <si>
    <t xml:space="preserve">             保安業務用機器
 保安業務区分</t>
    <rPh sb="13" eb="15">
      <t>ホアン</t>
    </rPh>
    <rPh sb="15" eb="18">
      <t>ギョウムヨウ</t>
    </rPh>
    <rPh sb="18" eb="20">
      <t>キキ</t>
    </rPh>
    <rPh sb="22" eb="24">
      <t>ホアン</t>
    </rPh>
    <rPh sb="24" eb="26">
      <t>ギョウム</t>
    </rPh>
    <rPh sb="26" eb="28">
      <t>クブン</t>
    </rPh>
    <phoneticPr fontId="1"/>
  </si>
  <si>
    <t xml:space="preserve">             保安業務用機器
 保安業務区分</t>
    <phoneticPr fontId="1"/>
  </si>
  <si>
    <t>※必要数は、合計した数の小数点以下を切り上げた数とする。</t>
    <rPh sb="1" eb="4">
      <t>ヒツヨウスウ</t>
    </rPh>
    <rPh sb="6" eb="8">
      <t>ゴウケイ</t>
    </rPh>
    <rPh sb="10" eb="11">
      <t>カズ</t>
    </rPh>
    <rPh sb="12" eb="15">
      <t>ショウスウテン</t>
    </rPh>
    <rPh sb="15" eb="17">
      <t>イカ</t>
    </rPh>
    <rPh sb="18" eb="19">
      <t>キ</t>
    </rPh>
    <rPh sb="20" eb="21">
      <t>ア</t>
    </rPh>
    <rPh sb="23" eb="24">
      <t>カズ</t>
    </rPh>
    <phoneticPr fontId="1"/>
  </si>
  <si>
    <t>【特例なし】</t>
    <rPh sb="1" eb="3">
      <t>トクレイ</t>
    </rPh>
    <phoneticPr fontId="1"/>
  </si>
  <si>
    <t>【特例あり】</t>
    <rPh sb="1" eb="3">
      <t>トクレイ</t>
    </rPh>
    <phoneticPr fontId="1"/>
  </si>
  <si>
    <t>【消費者戸数が２万戸以下の場合】</t>
    <rPh sb="1" eb="4">
      <t>ショウヒシャ</t>
    </rPh>
    <rPh sb="4" eb="6">
      <t>コスウ</t>
    </rPh>
    <rPh sb="8" eb="10">
      <t>マンコ</t>
    </rPh>
    <rPh sb="10" eb="12">
      <t>イカ</t>
    </rPh>
    <rPh sb="13" eb="15">
      <t>バアイ</t>
    </rPh>
    <phoneticPr fontId="1"/>
  </si>
  <si>
    <t>【消費者戸数が２万戸を超える場合】</t>
    <rPh sb="1" eb="4">
      <t>ショウヒシャ</t>
    </rPh>
    <rPh sb="4" eb="6">
      <t>コスウ</t>
    </rPh>
    <rPh sb="8" eb="10">
      <t>マンコ</t>
    </rPh>
    <rPh sb="11" eb="12">
      <t>コ</t>
    </rPh>
    <rPh sb="14" eb="16">
      <t>バアイ</t>
    </rPh>
    <phoneticPr fontId="1"/>
  </si>
  <si>
    <t xml:space="preserve"> (6) 告示第４条第２項第１号に規定される慣習上の見舞金の額</t>
    <phoneticPr fontId="1"/>
  </si>
  <si>
    <t xml:space="preserve"> (3) 規則第32条第１号に規定される損害賠償の額</t>
    <phoneticPr fontId="1"/>
  </si>
  <si>
    <t xml:space="preserve"> (6) 告示第４条第２項第１号に規定される慣習上の見舞金の額</t>
    <phoneticPr fontId="1"/>
  </si>
  <si>
    <t xml:space="preserve"> (3) 規則第32条第１号に規定される損害賠償の額</t>
    <phoneticPr fontId="1"/>
  </si>
  <si>
    <t>　に処せられ、その執行を終わり、又は執行を受けることがなくなつた日から２年を経過しない者</t>
    <phoneticPr fontId="1"/>
  </si>
  <si>
    <t>２　第35条の３の規定により認定を取り消され、その取消しの日から２年を経過しない者</t>
    <phoneticPr fontId="1"/>
  </si>
  <si>
    <t>４　法人であつて、その業務を行う役員のうちに前３号のいずれかに該当する者があるもの</t>
    <phoneticPr fontId="1"/>
  </si>
  <si>
    <t>　　　　　　　意思疎通を適正に行うことができない者（規則第30条の２）</t>
    <phoneticPr fontId="1"/>
  </si>
  <si>
    <t>(備考)　１　規則第31条第２号により必要な数の全ての保安業務用機器について記載する。</t>
    <phoneticPr fontId="1"/>
  </si>
  <si>
    <t>申請日</t>
    <rPh sb="0" eb="2">
      <t>シンセイ</t>
    </rPh>
    <rPh sb="2" eb="3">
      <t>ビ</t>
    </rPh>
    <phoneticPr fontId="1"/>
  </si>
  <si>
    <t>　滋賀県知事　　殿</t>
    <rPh sb="1" eb="4">
      <t>シガケン</t>
    </rPh>
    <rPh sb="4" eb="6">
      <t>チジ</t>
    </rPh>
    <rPh sb="8" eb="9">
      <t>トノ</t>
    </rPh>
    <phoneticPr fontId="1"/>
  </si>
  <si>
    <t>申請する事業所の数</t>
    <rPh sb="0" eb="2">
      <t>シンセイ</t>
    </rPh>
    <rPh sb="4" eb="7">
      <t>ジギョウショ</t>
    </rPh>
    <rPh sb="8" eb="9">
      <t>カズ</t>
    </rPh>
    <phoneticPr fontId="1"/>
  </si>
  <si>
    <t>申請者の住所</t>
    <rPh sb="0" eb="3">
      <t>シンセイシャ</t>
    </rPh>
    <rPh sb="4" eb="6">
      <t>ジュウショ</t>
    </rPh>
    <phoneticPr fontId="1"/>
  </si>
  <si>
    <t>集中監視システムの導入の有無</t>
    <rPh sb="0" eb="2">
      <t>シュウチュウ</t>
    </rPh>
    <rPh sb="2" eb="4">
      <t>カンシ</t>
    </rPh>
    <rPh sb="9" eb="11">
      <t>ドウニュウ</t>
    </rPh>
    <rPh sb="12" eb="14">
      <t>ウム</t>
    </rPh>
    <phoneticPr fontId="1"/>
  </si>
  <si>
    <t>申請者の法人または個人の区分</t>
    <rPh sb="0" eb="3">
      <t>シンセイシャ</t>
    </rPh>
    <rPh sb="4" eb="6">
      <t>ホウジン</t>
    </rPh>
    <rPh sb="9" eb="11">
      <t>コジン</t>
    </rPh>
    <rPh sb="12" eb="14">
      <t>クブン</t>
    </rPh>
    <phoneticPr fontId="1"/>
  </si>
  <si>
    <t>法人の区分</t>
    <rPh sb="0" eb="2">
      <t>ホウジン</t>
    </rPh>
    <rPh sb="3" eb="5">
      <t>クブン</t>
    </rPh>
    <phoneticPr fontId="1"/>
  </si>
  <si>
    <t>法人の代表者名</t>
    <rPh sb="0" eb="2">
      <t>ホウジン</t>
    </rPh>
    <rPh sb="3" eb="6">
      <t>ダイヒョウシャ</t>
    </rPh>
    <rPh sb="6" eb="7">
      <t>メイ</t>
    </rPh>
    <phoneticPr fontId="1"/>
  </si>
  <si>
    <t>（地図を貼り付け）</t>
  </si>
  <si>
    <t>（事業所から10分以内の範囲を図示）</t>
  </si>
  <si>
    <t>シート「滋様13-1別」へ移動</t>
    <rPh sb="10" eb="11">
      <t>ベツ</t>
    </rPh>
    <rPh sb="13" eb="15">
      <t>イドウ</t>
    </rPh>
    <phoneticPr fontId="1"/>
  </si>
  <si>
    <t>シート「滋様13-2」へ移動</t>
    <rPh sb="12" eb="14">
      <t>イドウ</t>
    </rPh>
    <phoneticPr fontId="1"/>
  </si>
  <si>
    <t>シート「滋様13-3」へ移動</t>
    <rPh sb="4" eb="5">
      <t>ジ</t>
    </rPh>
    <rPh sb="5" eb="6">
      <t>ヨウ</t>
    </rPh>
    <rPh sb="12" eb="14">
      <t>イドウ</t>
    </rPh>
    <phoneticPr fontId="1"/>
  </si>
  <si>
    <t>自社がLPガスを販売する一般消費者等への保安業務に対する損害賠償責任保険の締結の有無</t>
    <rPh sb="8" eb="10">
      <t>ハンバイ</t>
    </rPh>
    <rPh sb="25" eb="26">
      <t>タイ</t>
    </rPh>
    <rPh sb="32" eb="34">
      <t>セキニン</t>
    </rPh>
    <rPh sb="34" eb="36">
      <t>ホケン</t>
    </rPh>
    <rPh sb="37" eb="39">
      <t>テイケツ</t>
    </rPh>
    <rPh sb="40" eb="42">
      <t>ウム</t>
    </rPh>
    <phoneticPr fontId="1"/>
  </si>
  <si>
    <t>認定の区分</t>
    <rPh sb="0" eb="2">
      <t>ニンテイ</t>
    </rPh>
    <rPh sb="3" eb="5">
      <t>クブン</t>
    </rPh>
    <phoneticPr fontId="1"/>
  </si>
  <si>
    <t>一般消費者等の数</t>
    <rPh sb="0" eb="2">
      <t>イッパン</t>
    </rPh>
    <rPh sb="2" eb="5">
      <t>ショウヒシャ</t>
    </rPh>
    <rPh sb="5" eb="6">
      <t>トウ</t>
    </rPh>
    <rPh sb="7" eb="8">
      <t>カズ</t>
    </rPh>
    <phoneticPr fontId="1"/>
  </si>
  <si>
    <t>申請者</t>
    <rPh sb="0" eb="3">
      <t>シンセイシャ</t>
    </rPh>
    <phoneticPr fontId="1"/>
  </si>
  <si>
    <t>保安業務日数</t>
    <rPh sb="0" eb="2">
      <t>ホアン</t>
    </rPh>
    <rPh sb="2" eb="4">
      <t>ギョウム</t>
    </rPh>
    <rPh sb="4" eb="6">
      <t>ニッスウ</t>
    </rPh>
    <phoneticPr fontId="1"/>
  </si>
  <si>
    <t>保安業務用機器</t>
    <rPh sb="0" eb="2">
      <t>ホアン</t>
    </rPh>
    <rPh sb="2" eb="4">
      <t>ギョウム</t>
    </rPh>
    <rPh sb="4" eb="5">
      <t>ヨウ</t>
    </rPh>
    <rPh sb="5" eb="7">
      <t>キキ</t>
    </rPh>
    <phoneticPr fontId="1"/>
  </si>
  <si>
    <t>滋賀県外のLPガス販売所の有無</t>
    <rPh sb="0" eb="3">
      <t>シガケン</t>
    </rPh>
    <rPh sb="3" eb="4">
      <t>ガイ</t>
    </rPh>
    <rPh sb="9" eb="11">
      <t>ハンバイ</t>
    </rPh>
    <rPh sb="11" eb="12">
      <t>ショ</t>
    </rPh>
    <rPh sb="13" eb="15">
      <t>ウム</t>
    </rPh>
    <phoneticPr fontId="1"/>
  </si>
  <si>
    <t>自社がLPガスを販売する一般消費者等への保安業務の有無</t>
    <rPh sb="0" eb="2">
      <t>ジシャ</t>
    </rPh>
    <rPh sb="8" eb="10">
      <t>ハンバイ</t>
    </rPh>
    <rPh sb="12" eb="14">
      <t>イッパン</t>
    </rPh>
    <rPh sb="14" eb="17">
      <t>ショウヒシャ</t>
    </rPh>
    <rPh sb="17" eb="18">
      <t>トウ</t>
    </rPh>
    <rPh sb="20" eb="22">
      <t>ホアン</t>
    </rPh>
    <rPh sb="22" eb="24">
      <t>ギョウム</t>
    </rPh>
    <rPh sb="25" eb="27">
      <t>ウム</t>
    </rPh>
    <phoneticPr fontId="1"/>
  </si>
  <si>
    <t>他のLPガス販売事業者から委託を受ける保安業務の有無</t>
    <rPh sb="0" eb="1">
      <t>タ</t>
    </rPh>
    <rPh sb="6" eb="8">
      <t>ハンバイ</t>
    </rPh>
    <rPh sb="8" eb="10">
      <t>ジギョウ</t>
    </rPh>
    <rPh sb="10" eb="11">
      <t>シャ</t>
    </rPh>
    <rPh sb="13" eb="15">
      <t>イタク</t>
    </rPh>
    <rPh sb="16" eb="17">
      <t>ウ</t>
    </rPh>
    <rPh sb="19" eb="21">
      <t>ホアン</t>
    </rPh>
    <rPh sb="21" eb="23">
      <t>ギョウム</t>
    </rPh>
    <rPh sb="24" eb="26">
      <t>ウム</t>
    </rPh>
    <phoneticPr fontId="1"/>
  </si>
  <si>
    <t>自社に保安業務を委託する滋賀県外のLPガス販売事業者の有無</t>
    <rPh sb="0" eb="2">
      <t>ジシャ</t>
    </rPh>
    <rPh sb="3" eb="5">
      <t>ホアン</t>
    </rPh>
    <rPh sb="5" eb="7">
      <t>ギョウム</t>
    </rPh>
    <rPh sb="8" eb="10">
      <t>イタク</t>
    </rPh>
    <rPh sb="12" eb="15">
      <t>シガケン</t>
    </rPh>
    <rPh sb="15" eb="16">
      <t>ガイ</t>
    </rPh>
    <rPh sb="21" eb="23">
      <t>ハンバイ</t>
    </rPh>
    <rPh sb="23" eb="25">
      <t>ジギョウ</t>
    </rPh>
    <rPh sb="25" eb="26">
      <t>シャ</t>
    </rPh>
    <rPh sb="27" eb="29">
      <t>ウム</t>
    </rPh>
    <phoneticPr fontId="1"/>
  </si>
  <si>
    <t>緊急時対応の説明</t>
    <rPh sb="0" eb="3">
      <t>キンキュウジ</t>
    </rPh>
    <rPh sb="3" eb="5">
      <t>タイオウ</t>
    </rPh>
    <rPh sb="6" eb="8">
      <t>セツメイ</t>
    </rPh>
    <phoneticPr fontId="1"/>
  </si>
  <si>
    <t>同上損害賠償責任保険の保険会社名</t>
    <rPh sb="0" eb="1">
      <t>ドウ</t>
    </rPh>
    <rPh sb="1" eb="2">
      <t>ジョウ</t>
    </rPh>
    <rPh sb="2" eb="4">
      <t>ソンガイ</t>
    </rPh>
    <rPh sb="11" eb="13">
      <t>ホケン</t>
    </rPh>
    <rPh sb="13" eb="16">
      <t>カイシャメイ</t>
    </rPh>
    <phoneticPr fontId="1"/>
  </si>
  <si>
    <t>同上損害賠償責任保険の名称</t>
    <rPh sb="0" eb="2">
      <t>ドウジョウ</t>
    </rPh>
    <rPh sb="2" eb="4">
      <t>ソンガイ</t>
    </rPh>
    <rPh sb="4" eb="6">
      <t>バイショウ</t>
    </rPh>
    <rPh sb="6" eb="8">
      <t>セキニン</t>
    </rPh>
    <rPh sb="8" eb="10">
      <t>ホケン</t>
    </rPh>
    <rPh sb="11" eb="13">
      <t>メイショウ</t>
    </rPh>
    <phoneticPr fontId="1"/>
  </si>
  <si>
    <t>同上損害賠償責任保険について、保険期間中の保険金支払額の制限の有無</t>
    <rPh sb="0" eb="2">
      <t>ドウジョウ</t>
    </rPh>
    <rPh sb="2" eb="4">
      <t>ソンガイ</t>
    </rPh>
    <rPh sb="4" eb="6">
      <t>バイショウ</t>
    </rPh>
    <rPh sb="6" eb="8">
      <t>セキニン</t>
    </rPh>
    <rPh sb="8" eb="10">
      <t>ホケン</t>
    </rPh>
    <rPh sb="15" eb="17">
      <t>ホケン</t>
    </rPh>
    <rPh sb="17" eb="20">
      <t>キカンチュウ</t>
    </rPh>
    <rPh sb="21" eb="24">
      <t>ホケンキン</t>
    </rPh>
    <rPh sb="24" eb="26">
      <t>シハライ</t>
    </rPh>
    <rPh sb="26" eb="27">
      <t>ガク</t>
    </rPh>
    <rPh sb="28" eb="30">
      <t>セイゲン</t>
    </rPh>
    <rPh sb="31" eb="33">
      <t>ウム</t>
    </rPh>
    <phoneticPr fontId="1"/>
  </si>
  <si>
    <t>同上損害賠償責任保険について、法令違反が原因の事故についての補償の免責の有無</t>
    <rPh sb="0" eb="2">
      <t>ドウジョウ</t>
    </rPh>
    <rPh sb="2" eb="4">
      <t>ソンガイ</t>
    </rPh>
    <rPh sb="4" eb="6">
      <t>バイショウ</t>
    </rPh>
    <rPh sb="6" eb="8">
      <t>セキニン</t>
    </rPh>
    <rPh sb="8" eb="10">
      <t>ホケン</t>
    </rPh>
    <rPh sb="15" eb="17">
      <t>ホウレイ</t>
    </rPh>
    <rPh sb="17" eb="19">
      <t>イハン</t>
    </rPh>
    <rPh sb="20" eb="22">
      <t>ゲンイン</t>
    </rPh>
    <rPh sb="23" eb="25">
      <t>ジコ</t>
    </rPh>
    <rPh sb="30" eb="32">
      <t>ホショウ</t>
    </rPh>
    <rPh sb="33" eb="35">
      <t>メンセキ</t>
    </rPh>
    <rPh sb="36" eb="38">
      <t>ウム</t>
    </rPh>
    <phoneticPr fontId="1"/>
  </si>
  <si>
    <t>同上損害賠償責任保険について、規則第32条第1号に規定される人的損害の１人あたりの限度額[億円]</t>
    <rPh sb="0" eb="2">
      <t>ドウジョウ</t>
    </rPh>
    <rPh sb="2" eb="4">
      <t>ソンガイ</t>
    </rPh>
    <rPh sb="4" eb="6">
      <t>バイショウ</t>
    </rPh>
    <rPh sb="6" eb="8">
      <t>セキニン</t>
    </rPh>
    <rPh sb="8" eb="10">
      <t>ホケン</t>
    </rPh>
    <rPh sb="15" eb="17">
      <t>キソク</t>
    </rPh>
    <rPh sb="17" eb="18">
      <t>ダイ</t>
    </rPh>
    <rPh sb="20" eb="21">
      <t>ジョウ</t>
    </rPh>
    <rPh sb="21" eb="22">
      <t>ダイ</t>
    </rPh>
    <rPh sb="23" eb="24">
      <t>ゴウ</t>
    </rPh>
    <rPh sb="25" eb="27">
      <t>キテイ</t>
    </rPh>
    <rPh sb="30" eb="32">
      <t>ジンテキ</t>
    </rPh>
    <rPh sb="32" eb="34">
      <t>ソンガイ</t>
    </rPh>
    <rPh sb="36" eb="37">
      <t>ニン</t>
    </rPh>
    <rPh sb="41" eb="43">
      <t>ゲンド</t>
    </rPh>
    <rPh sb="43" eb="44">
      <t>ガク</t>
    </rPh>
    <rPh sb="45" eb="46">
      <t>オク</t>
    </rPh>
    <rPh sb="46" eb="47">
      <t>エン</t>
    </rPh>
    <phoneticPr fontId="1"/>
  </si>
  <si>
    <t>同上損害賠償責任保険について、規則第32条第1号に規定される人的損害の１事故あたりの合計の限度額[億円]</t>
    <rPh sb="36" eb="38">
      <t>ジコ</t>
    </rPh>
    <rPh sb="42" eb="44">
      <t>ゴウケイ</t>
    </rPh>
    <phoneticPr fontId="1"/>
  </si>
  <si>
    <t>同上損害賠償責任保険について、規則第32条第1号に規定される物的損害の１事故あたりの限度額[億円]</t>
    <rPh sb="30" eb="31">
      <t>モノ</t>
    </rPh>
    <phoneticPr fontId="1"/>
  </si>
  <si>
    <t>同上損害賠償責任保険について、告示第4条第2項第1号に規定される人的損害の1人あたりの慣習上の見舞金の限度額[万円]</t>
    <rPh sb="0" eb="2">
      <t>ドウジョウ</t>
    </rPh>
    <rPh sb="2" eb="4">
      <t>ソンガイ</t>
    </rPh>
    <rPh sb="4" eb="6">
      <t>バイショウ</t>
    </rPh>
    <rPh sb="6" eb="8">
      <t>セキニン</t>
    </rPh>
    <rPh sb="8" eb="10">
      <t>ホケン</t>
    </rPh>
    <rPh sb="15" eb="17">
      <t>コクジ</t>
    </rPh>
    <rPh sb="17" eb="18">
      <t>ダイ</t>
    </rPh>
    <rPh sb="19" eb="20">
      <t>ジョウ</t>
    </rPh>
    <rPh sb="20" eb="21">
      <t>ダイ</t>
    </rPh>
    <rPh sb="22" eb="23">
      <t>コウ</t>
    </rPh>
    <rPh sb="23" eb="24">
      <t>ダイ</t>
    </rPh>
    <rPh sb="25" eb="26">
      <t>ゴウ</t>
    </rPh>
    <rPh sb="27" eb="29">
      <t>キテイ</t>
    </rPh>
    <rPh sb="32" eb="34">
      <t>ジンテキ</t>
    </rPh>
    <rPh sb="34" eb="36">
      <t>ソンガイ</t>
    </rPh>
    <rPh sb="38" eb="39">
      <t>ニン</t>
    </rPh>
    <rPh sb="43" eb="45">
      <t>カンシュウ</t>
    </rPh>
    <rPh sb="45" eb="46">
      <t>ジョウ</t>
    </rPh>
    <rPh sb="47" eb="49">
      <t>ミマイ</t>
    </rPh>
    <rPh sb="49" eb="50">
      <t>キン</t>
    </rPh>
    <rPh sb="51" eb="53">
      <t>ゲンド</t>
    </rPh>
    <rPh sb="53" eb="54">
      <t>ガク</t>
    </rPh>
    <rPh sb="55" eb="57">
      <t>マンエン</t>
    </rPh>
    <phoneticPr fontId="1"/>
  </si>
  <si>
    <t>同上損害賠償責任保険について、告示第4条第2項第1号に規定される物的損害の1事故あたりの慣習上の見舞金の限度額[万円]</t>
    <rPh sb="32" eb="34">
      <t>ブッテキ</t>
    </rPh>
    <rPh sb="38" eb="40">
      <t>ジコ</t>
    </rPh>
    <phoneticPr fontId="1"/>
  </si>
  <si>
    <t>同上損害賠償責任保険について、告示第4条第2項第1号に規定される1事故あたりの慣習上の見舞金の合計の限度額[万円]</t>
    <rPh sb="39" eb="41">
      <t>カンシュウ</t>
    </rPh>
    <rPh sb="47" eb="49">
      <t>ゴウケイ</t>
    </rPh>
    <phoneticPr fontId="1"/>
  </si>
  <si>
    <t>同上損害賠償責任保険について、免責金額[円]</t>
    <rPh sb="0" eb="2">
      <t>ドウジョウ</t>
    </rPh>
    <rPh sb="2" eb="4">
      <t>ソンガイ</t>
    </rPh>
    <rPh sb="4" eb="6">
      <t>バイショウ</t>
    </rPh>
    <rPh sb="6" eb="8">
      <t>セキニン</t>
    </rPh>
    <rPh sb="8" eb="10">
      <t>ホケン</t>
    </rPh>
    <rPh sb="15" eb="17">
      <t>メンセキ</t>
    </rPh>
    <rPh sb="17" eb="19">
      <t>キンガク</t>
    </rPh>
    <rPh sb="20" eb="21">
      <t>エン</t>
    </rPh>
    <phoneticPr fontId="1"/>
  </si>
  <si>
    <t>損賠賠償の内容(自社の販売に関するもの)</t>
    <rPh sb="0" eb="2">
      <t>ソンバイ</t>
    </rPh>
    <rPh sb="2" eb="4">
      <t>バイショウ</t>
    </rPh>
    <rPh sb="5" eb="7">
      <t>ナイヨウ</t>
    </rPh>
    <rPh sb="8" eb="10">
      <t>ジシャ</t>
    </rPh>
    <rPh sb="11" eb="13">
      <t>ハンバイ</t>
    </rPh>
    <rPh sb="14" eb="15">
      <t>カン</t>
    </rPh>
    <phoneticPr fontId="1"/>
  </si>
  <si>
    <t>損賠賠償の内容(保安業務の受託に関するもの)</t>
    <rPh sb="0" eb="2">
      <t>ソンバイ</t>
    </rPh>
    <rPh sb="2" eb="4">
      <t>バイショウ</t>
    </rPh>
    <rPh sb="5" eb="7">
      <t>ナイヨウ</t>
    </rPh>
    <rPh sb="8" eb="10">
      <t>ホアン</t>
    </rPh>
    <rPh sb="10" eb="12">
      <t>ギョウム</t>
    </rPh>
    <rPh sb="13" eb="15">
      <t>ジュタク</t>
    </rPh>
    <rPh sb="16" eb="17">
      <t>カン</t>
    </rPh>
    <phoneticPr fontId="1"/>
  </si>
  <si>
    <t>他のLPガス販売事業者から受託する保安業務に対する損害賠償責任保険の締結の有無</t>
    <rPh sb="0" eb="1">
      <t>タ</t>
    </rPh>
    <rPh sb="6" eb="8">
      <t>ハンバイ</t>
    </rPh>
    <rPh sb="8" eb="10">
      <t>ジギョウ</t>
    </rPh>
    <rPh sb="10" eb="11">
      <t>シャ</t>
    </rPh>
    <rPh sb="13" eb="15">
      <t>ジュタク</t>
    </rPh>
    <rPh sb="17" eb="19">
      <t>ホアン</t>
    </rPh>
    <rPh sb="22" eb="23">
      <t>タイ</t>
    </rPh>
    <rPh sb="29" eb="31">
      <t>セキニン</t>
    </rPh>
    <rPh sb="31" eb="33">
      <t>ホケン</t>
    </rPh>
    <rPh sb="34" eb="36">
      <t>テイケツ</t>
    </rPh>
    <rPh sb="37" eb="39">
      <t>ウム</t>
    </rPh>
    <phoneticPr fontId="1"/>
  </si>
  <si>
    <t>法人の役員構成および履歴</t>
    <rPh sb="0" eb="2">
      <t>ホウジン</t>
    </rPh>
    <rPh sb="3" eb="5">
      <t>ヤクイン</t>
    </rPh>
    <rPh sb="5" eb="7">
      <t>コウセイ</t>
    </rPh>
    <rPh sb="10" eb="12">
      <t>リレキ</t>
    </rPh>
    <phoneticPr fontId="1"/>
  </si>
  <si>
    <t>シート「滋様13-5」へ移動</t>
  </si>
  <si>
    <t>シート「滋様13-5」へ移動</t>
    <rPh sb="4" eb="5">
      <t>ジ</t>
    </rPh>
    <rPh sb="5" eb="6">
      <t>ヨウ</t>
    </rPh>
    <rPh sb="12" eb="14">
      <t>イドウ</t>
    </rPh>
    <phoneticPr fontId="1"/>
  </si>
  <si>
    <t>法人の構成員の状況</t>
    <rPh sb="0" eb="2">
      <t>ホウジン</t>
    </rPh>
    <rPh sb="3" eb="6">
      <t>コウセイイン</t>
    </rPh>
    <rPh sb="7" eb="9">
      <t>ジョウキョウ</t>
    </rPh>
    <phoneticPr fontId="1"/>
  </si>
  <si>
    <t>法人の構成</t>
    <rPh sb="0" eb="2">
      <t>ホウジン</t>
    </rPh>
    <rPh sb="3" eb="5">
      <t>コウセイ</t>
    </rPh>
    <phoneticPr fontId="1"/>
  </si>
  <si>
    <t>工業用LPガスの販売の有無</t>
    <rPh sb="0" eb="2">
      <t>コウギョウ</t>
    </rPh>
    <rPh sb="2" eb="3">
      <t>ヨウ</t>
    </rPh>
    <rPh sb="8" eb="10">
      <t>ハンバイ</t>
    </rPh>
    <rPh sb="11" eb="13">
      <t>ウム</t>
    </rPh>
    <phoneticPr fontId="1"/>
  </si>
  <si>
    <t>LPガスの充てんの有無</t>
    <rPh sb="5" eb="6">
      <t>ジュウ</t>
    </rPh>
    <rPh sb="9" eb="11">
      <t>ウム</t>
    </rPh>
    <phoneticPr fontId="1"/>
  </si>
  <si>
    <t>LPガスの製造の有無</t>
    <rPh sb="5" eb="7">
      <t>セイゾウ</t>
    </rPh>
    <rPh sb="8" eb="10">
      <t>ウム</t>
    </rPh>
    <phoneticPr fontId="1"/>
  </si>
  <si>
    <t>LPガスの配送の有無</t>
    <rPh sb="5" eb="7">
      <t>ハイソウ</t>
    </rPh>
    <rPh sb="8" eb="10">
      <t>ウム</t>
    </rPh>
    <phoneticPr fontId="1"/>
  </si>
  <si>
    <t>LPガス配管または設備の工事の有無</t>
    <rPh sb="4" eb="6">
      <t>ハイカン</t>
    </rPh>
    <rPh sb="9" eb="11">
      <t>セツビ</t>
    </rPh>
    <rPh sb="12" eb="14">
      <t>コウジ</t>
    </rPh>
    <rPh sb="15" eb="17">
      <t>ウム</t>
    </rPh>
    <phoneticPr fontId="1"/>
  </si>
  <si>
    <t>LPガス器具の販売の有無</t>
    <rPh sb="4" eb="6">
      <t>キグ</t>
    </rPh>
    <rPh sb="7" eb="9">
      <t>ハンバイ</t>
    </rPh>
    <rPh sb="10" eb="12">
      <t>ウム</t>
    </rPh>
    <phoneticPr fontId="1"/>
  </si>
  <si>
    <t>LPガスに関する業務以外の業務の有無</t>
  </si>
  <si>
    <t>シート「滋様13-6」へ移動</t>
    <rPh sb="4" eb="5">
      <t>ジ</t>
    </rPh>
    <rPh sb="5" eb="6">
      <t>ヨウ</t>
    </rPh>
    <rPh sb="12" eb="14">
      <t>イドウ</t>
    </rPh>
    <phoneticPr fontId="1"/>
  </si>
  <si>
    <t>LPガスに関する業務以外の業務の内容</t>
    <rPh sb="5" eb="6">
      <t>カン</t>
    </rPh>
    <rPh sb="8" eb="10">
      <t>ギョウム</t>
    </rPh>
    <rPh sb="10" eb="12">
      <t>イガイ</t>
    </rPh>
    <rPh sb="13" eb="15">
      <t>ギョウム</t>
    </rPh>
    <rPh sb="16" eb="18">
      <t>ナイヨウ</t>
    </rPh>
    <phoneticPr fontId="1"/>
  </si>
  <si>
    <t>役員が欠格条項に該当しないことの誓約</t>
    <rPh sb="0" eb="2">
      <t>ヤクイン</t>
    </rPh>
    <phoneticPr fontId="1"/>
  </si>
  <si>
    <t>シート「滋様13-7」へ移動</t>
    <phoneticPr fontId="1"/>
  </si>
  <si>
    <t>滋LP様式第13-5に直接記載</t>
    <phoneticPr fontId="1"/>
  </si>
  <si>
    <t>滋LP様式第13-7に直接記載</t>
    <phoneticPr fontId="1"/>
  </si>
  <si>
    <t>滋LP様式第13-6に直接記載</t>
    <phoneticPr fontId="1"/>
  </si>
  <si>
    <t>滋LP様式第13-1別紙に直接記載</t>
    <phoneticPr fontId="1"/>
  </si>
  <si>
    <t>　　　　　者の代理者講習修了証」、「保安業務員講習修了証」、「液化石油ガス調査員講習修了証」の</t>
    <rPh sb="42" eb="44">
      <t>シュウリョウ</t>
    </rPh>
    <phoneticPr fontId="1"/>
  </si>
  <si>
    <t>滋LP様式第13-10に直接記載</t>
    <rPh sb="0" eb="1">
      <t>ジ</t>
    </rPh>
    <rPh sb="3" eb="5">
      <t>ヨウシキ</t>
    </rPh>
    <rPh sb="5" eb="6">
      <t>ダイ</t>
    </rPh>
    <rPh sb="12" eb="14">
      <t>チョクセツ</t>
    </rPh>
    <rPh sb="14" eb="16">
      <t>キサイ</t>
    </rPh>
    <phoneticPr fontId="1"/>
  </si>
  <si>
    <t>シート「滋様13-10」へ移動</t>
    <rPh sb="4" eb="5">
      <t>ジ</t>
    </rPh>
    <rPh sb="5" eb="6">
      <t>ヨウ</t>
    </rPh>
    <rPh sb="13" eb="15">
      <t>イドウ</t>
    </rPh>
    <phoneticPr fontId="1"/>
  </si>
  <si>
    <t>滋LP様式第13-12に直接記載</t>
    <phoneticPr fontId="1"/>
  </si>
  <si>
    <t>シート「滋様13-12」へ移動</t>
    <phoneticPr fontId="1"/>
  </si>
  <si>
    <t>1号消費者戸数</t>
    <rPh sb="1" eb="2">
      <t>ゴウ</t>
    </rPh>
    <rPh sb="2" eb="5">
      <t>ショウヒシャ</t>
    </rPh>
    <rPh sb="5" eb="7">
      <t>コスウ</t>
    </rPh>
    <phoneticPr fontId="1"/>
  </si>
  <si>
    <t>2号消費者戸数</t>
    <rPh sb="1" eb="2">
      <t>ゴウ</t>
    </rPh>
    <rPh sb="2" eb="5">
      <t>ショウヒシャ</t>
    </rPh>
    <rPh sb="5" eb="7">
      <t>コスウ</t>
    </rPh>
    <phoneticPr fontId="1"/>
  </si>
  <si>
    <t>2号月間実働日数</t>
    <rPh sb="1" eb="2">
      <t>ゴウ</t>
    </rPh>
    <rPh sb="2" eb="4">
      <t>ゲッカン</t>
    </rPh>
    <rPh sb="4" eb="6">
      <t>ジツドウ</t>
    </rPh>
    <rPh sb="6" eb="8">
      <t>ニッスウ</t>
    </rPh>
    <phoneticPr fontId="1"/>
  </si>
  <si>
    <t>3号消費者戸数</t>
    <rPh sb="1" eb="2">
      <t>ゴウ</t>
    </rPh>
    <rPh sb="2" eb="5">
      <t>ショウヒシャ</t>
    </rPh>
    <rPh sb="5" eb="7">
      <t>コスウ</t>
    </rPh>
    <phoneticPr fontId="1"/>
  </si>
  <si>
    <t>3号年間実働日数</t>
    <rPh sb="1" eb="2">
      <t>ゴウ</t>
    </rPh>
    <rPh sb="2" eb="4">
      <t>ネンカン</t>
    </rPh>
    <rPh sb="4" eb="6">
      <t>ジツドウ</t>
    </rPh>
    <rPh sb="6" eb="8">
      <t>ニッスウ</t>
    </rPh>
    <phoneticPr fontId="1"/>
  </si>
  <si>
    <t>4号消費者戸数</t>
    <rPh sb="1" eb="2">
      <t>ゴウ</t>
    </rPh>
    <rPh sb="2" eb="5">
      <t>ショウヒシャ</t>
    </rPh>
    <rPh sb="5" eb="7">
      <t>コスウ</t>
    </rPh>
    <phoneticPr fontId="1"/>
  </si>
  <si>
    <t>4号年間実働日数</t>
    <rPh sb="1" eb="2">
      <t>ゴウ</t>
    </rPh>
    <rPh sb="2" eb="4">
      <t>ネンカン</t>
    </rPh>
    <rPh sb="4" eb="6">
      <t>ジツドウ</t>
    </rPh>
    <rPh sb="6" eb="8">
      <t>ニッスウ</t>
    </rPh>
    <phoneticPr fontId="1"/>
  </si>
  <si>
    <t>5号消費者戸数</t>
    <rPh sb="1" eb="2">
      <t>ゴウ</t>
    </rPh>
    <rPh sb="2" eb="5">
      <t>ショウヒシャ</t>
    </rPh>
    <rPh sb="5" eb="7">
      <t>コスウ</t>
    </rPh>
    <phoneticPr fontId="1"/>
  </si>
  <si>
    <t>6号消費者戸数</t>
    <rPh sb="1" eb="2">
      <t>ゴウ</t>
    </rPh>
    <rPh sb="2" eb="5">
      <t>ショウヒシャ</t>
    </rPh>
    <rPh sb="5" eb="7">
      <t>コスウ</t>
    </rPh>
    <phoneticPr fontId="1"/>
  </si>
  <si>
    <t>7号消費者戸数</t>
    <rPh sb="1" eb="2">
      <t>ゴウ</t>
    </rPh>
    <rPh sb="2" eb="5">
      <t>ショウヒシャ</t>
    </rPh>
    <rPh sb="5" eb="7">
      <t>コスウ</t>
    </rPh>
    <phoneticPr fontId="1"/>
  </si>
  <si>
    <t>認定なし</t>
    <rPh sb="0" eb="2">
      <t>ニンテイ</t>
    </rPh>
    <phoneticPr fontId="1"/>
  </si>
  <si>
    <t>特例なし</t>
    <rPh sb="0" eb="2">
      <t>トクレイ</t>
    </rPh>
    <phoneticPr fontId="1"/>
  </si>
  <si>
    <t>認定を受ける</t>
    <rPh sb="0" eb="2">
      <t>ニンテイ</t>
    </rPh>
    <rPh sb="3" eb="4">
      <t>ウ</t>
    </rPh>
    <phoneticPr fontId="1"/>
  </si>
  <si>
    <t>消費者戸数が２万戸以下で認定</t>
    <rPh sb="0" eb="3">
      <t>ショウヒシャ</t>
    </rPh>
    <rPh sb="3" eb="5">
      <t>コスウ</t>
    </rPh>
    <rPh sb="7" eb="9">
      <t>マンコ</t>
    </rPh>
    <rPh sb="9" eb="11">
      <t>イカ</t>
    </rPh>
    <rPh sb="12" eb="14">
      <t>ニンテイ</t>
    </rPh>
    <phoneticPr fontId="1"/>
  </si>
  <si>
    <t>消費者戸数が２万戸を超えて認定</t>
    <rPh sb="0" eb="3">
      <t>ショウヒシャ</t>
    </rPh>
    <rPh sb="3" eb="5">
      <t>コスウ</t>
    </rPh>
    <rPh sb="7" eb="9">
      <t>マンコ</t>
    </rPh>
    <rPh sb="10" eb="11">
      <t>コ</t>
    </rPh>
    <rPh sb="13" eb="15">
      <t>ニンテイ</t>
    </rPh>
    <phoneticPr fontId="1"/>
  </si>
  <si>
    <t>②計算結果(補正なし)</t>
    <rPh sb="1" eb="3">
      <t>ケイサン</t>
    </rPh>
    <rPh sb="3" eb="5">
      <t>ケッカ</t>
    </rPh>
    <rPh sb="6" eb="8">
      <t>ホセイ</t>
    </rPh>
    <phoneticPr fontId="1"/>
  </si>
  <si>
    <t>①計算結果(補正なし)</t>
    <rPh sb="6" eb="8">
      <t>ホセイ</t>
    </rPh>
    <phoneticPr fontId="1"/>
  </si>
  <si>
    <t>合計</t>
    <rPh sb="0" eb="2">
      <t>ゴウケイ</t>
    </rPh>
    <phoneticPr fontId="1"/>
  </si>
  <si>
    <t>切り上げ</t>
    <rPh sb="0" eb="1">
      <t>キ</t>
    </rPh>
    <rPh sb="2" eb="3">
      <t>ア</t>
    </rPh>
    <phoneticPr fontId="1"/>
  </si>
  <si>
    <t>補助員数切り上げ</t>
    <rPh sb="0" eb="3">
      <t>ホジョイン</t>
    </rPh>
    <rPh sb="3" eb="4">
      <t>スウ</t>
    </rPh>
    <rPh sb="4" eb="5">
      <t>キ</t>
    </rPh>
    <rPh sb="6" eb="7">
      <t>ア</t>
    </rPh>
    <phoneticPr fontId="1"/>
  </si>
  <si>
    <t>緊急時対応数</t>
    <rPh sb="0" eb="3">
      <t>キンキュウジ</t>
    </rPh>
    <rPh sb="3" eb="5">
      <t>タイオウ</t>
    </rPh>
    <rPh sb="5" eb="6">
      <t>スウ</t>
    </rPh>
    <phoneticPr fontId="1"/>
  </si>
  <si>
    <t>(h)</t>
    <phoneticPr fontId="1"/>
  </si>
  <si>
    <t>（０未満の場合は、０とする。）</t>
    <rPh sb="2" eb="4">
      <t>ミマン</t>
    </rPh>
    <rPh sb="5" eb="7">
      <t>バアイ</t>
    </rPh>
    <phoneticPr fontId="1"/>
  </si>
  <si>
    <t>チ　定期供給設備点検及び定期消費設備調査の特例</t>
    <rPh sb="2" eb="4">
      <t>テイキ</t>
    </rPh>
    <rPh sb="4" eb="6">
      <t>キョウキュウ</t>
    </rPh>
    <rPh sb="6" eb="8">
      <t>セツビ</t>
    </rPh>
    <rPh sb="8" eb="10">
      <t>テンケン</t>
    </rPh>
    <rPh sb="10" eb="11">
      <t>オヨ</t>
    </rPh>
    <rPh sb="12" eb="14">
      <t>テイキ</t>
    </rPh>
    <rPh sb="14" eb="16">
      <t>ショウヒ</t>
    </rPh>
    <rPh sb="16" eb="18">
      <t>セツビ</t>
    </rPh>
    <rPh sb="18" eb="20">
      <t>チョウサ</t>
    </rPh>
    <rPh sb="21" eb="23">
      <t>トクレイ</t>
    </rPh>
    <phoneticPr fontId="1"/>
  </si>
  <si>
    <t>（3号消費者戸数－4号消費者戸数の計算結果が０未満の場合は、０とする）</t>
    <rPh sb="2" eb="3">
      <t>ゴウ</t>
    </rPh>
    <rPh sb="3" eb="6">
      <t>ショウヒシャ</t>
    </rPh>
    <rPh sb="6" eb="8">
      <t>コスウ</t>
    </rPh>
    <rPh sb="10" eb="11">
      <t>ゴウ</t>
    </rPh>
    <rPh sb="11" eb="14">
      <t>ショウヒシャ</t>
    </rPh>
    <rPh sb="14" eb="16">
      <t>コスウ</t>
    </rPh>
    <rPh sb="17" eb="19">
      <t>ケイサン</t>
    </rPh>
    <rPh sb="19" eb="21">
      <t>ケッカ</t>
    </rPh>
    <rPh sb="23" eb="25">
      <t>ミマン</t>
    </rPh>
    <rPh sb="26" eb="28">
      <t>バアイ</t>
    </rPh>
    <phoneticPr fontId="1"/>
  </si>
  <si>
    <t>　　　　　○該当しないものについては、「－」を記載する。</t>
    <rPh sb="6" eb="8">
      <t>ガイトウ</t>
    </rPh>
    <phoneticPr fontId="1"/>
  </si>
  <si>
    <t>　　　　　○消費者戸数はそれぞれの保安業務区分の戸数とする。</t>
    <rPh sb="6" eb="9">
      <t>ショウヒシャ</t>
    </rPh>
    <rPh sb="9" eb="11">
      <t>コスウ</t>
    </rPh>
    <rPh sb="17" eb="19">
      <t>ホアン</t>
    </rPh>
    <rPh sb="19" eb="21">
      <t>ギョウム</t>
    </rPh>
    <rPh sb="21" eb="23">
      <t>クブン</t>
    </rPh>
    <rPh sb="24" eb="26">
      <t>コスウ</t>
    </rPh>
    <phoneticPr fontId="1"/>
  </si>
  <si>
    <t>(a)①計算結果(補正後)</t>
    <rPh sb="4" eb="6">
      <t>ケイサン</t>
    </rPh>
    <rPh sb="6" eb="8">
      <t>ケッカ</t>
    </rPh>
    <rPh sb="9" eb="11">
      <t>ホセイ</t>
    </rPh>
    <rPh sb="11" eb="12">
      <t>ゴ</t>
    </rPh>
    <phoneticPr fontId="1"/>
  </si>
  <si>
    <t>(b)②計算結果(補正後)</t>
    <rPh sb="4" eb="6">
      <t>ケイサン</t>
    </rPh>
    <rPh sb="6" eb="8">
      <t>ケッカ</t>
    </rPh>
    <rPh sb="9" eb="11">
      <t>ホセイ</t>
    </rPh>
    <rPh sb="11" eb="12">
      <t>ゴ</t>
    </rPh>
    <phoneticPr fontId="1"/>
  </si>
  <si>
    <t>(c1)③計算結果(補正後)</t>
    <rPh sb="5" eb="7">
      <t>ケイサン</t>
    </rPh>
    <rPh sb="7" eb="9">
      <t>ケッカ</t>
    </rPh>
    <rPh sb="10" eb="12">
      <t>ホセイ</t>
    </rPh>
    <rPh sb="12" eb="13">
      <t>ゴ</t>
    </rPh>
    <phoneticPr fontId="1"/>
  </si>
  <si>
    <t>(c2)④計算結果(補正後)</t>
    <rPh sb="5" eb="7">
      <t>ケイサン</t>
    </rPh>
    <rPh sb="7" eb="9">
      <t>ケッカ</t>
    </rPh>
    <rPh sb="10" eb="12">
      <t>ホセイ</t>
    </rPh>
    <rPh sb="12" eb="13">
      <t>ゴ</t>
    </rPh>
    <phoneticPr fontId="1"/>
  </si>
  <si>
    <t>【特例適用外となる、補助員なしの定期供給設備点検】</t>
    <rPh sb="1" eb="3">
      <t>トクレイ</t>
    </rPh>
    <rPh sb="3" eb="5">
      <t>テキヨウ</t>
    </rPh>
    <rPh sb="5" eb="6">
      <t>ガイ</t>
    </rPh>
    <rPh sb="10" eb="13">
      <t>ホジョイン</t>
    </rPh>
    <rPh sb="16" eb="18">
      <t>テイキ</t>
    </rPh>
    <rPh sb="18" eb="20">
      <t>キョウキュウ</t>
    </rPh>
    <rPh sb="20" eb="22">
      <t>セツビ</t>
    </rPh>
    <rPh sb="22" eb="24">
      <t>テンケン</t>
    </rPh>
    <phoneticPr fontId="1"/>
  </si>
  <si>
    <t>【特例適用外となる、補助員ありでの定期供給設備点検】</t>
    <rPh sb="1" eb="3">
      <t>トクレイ</t>
    </rPh>
    <rPh sb="3" eb="5">
      <t>テキヨウ</t>
    </rPh>
    <rPh sb="5" eb="6">
      <t>ガイ</t>
    </rPh>
    <rPh sb="10" eb="13">
      <t>ホジョイン</t>
    </rPh>
    <rPh sb="17" eb="19">
      <t>テイキ</t>
    </rPh>
    <rPh sb="19" eb="21">
      <t>キョウキュウ</t>
    </rPh>
    <rPh sb="21" eb="23">
      <t>セツビ</t>
    </rPh>
    <rPh sb="23" eb="25">
      <t>テンケン</t>
    </rPh>
    <phoneticPr fontId="1"/>
  </si>
  <si>
    <t>【特例適用外となる、補助員なしの定期消費設備調査】</t>
    <rPh sb="18" eb="20">
      <t>ショウヒ</t>
    </rPh>
    <rPh sb="22" eb="24">
      <t>チョウサ</t>
    </rPh>
    <phoneticPr fontId="1"/>
  </si>
  <si>
    <t>（4号消費者戸数－3号消費者戸数の計算結果が０未満の場合は、０とする）</t>
    <phoneticPr fontId="1"/>
  </si>
  <si>
    <t>【特例適用外となる、補助員ありでの定期消費設備調査】</t>
    <rPh sb="19" eb="21">
      <t>ショウヒ</t>
    </rPh>
    <rPh sb="23" eb="25">
      <t>チョウサ</t>
    </rPh>
    <phoneticPr fontId="1"/>
  </si>
  <si>
    <t>（4号消費者戸数－3号消費者戸数の計算結果が０未満の場合は、０とする）</t>
    <phoneticPr fontId="1"/>
  </si>
  <si>
    <t>(b)</t>
    <phoneticPr fontId="1"/>
  </si>
  <si>
    <t>(a)</t>
    <phoneticPr fontId="1"/>
  </si>
  <si>
    <t>(cd1)</t>
    <phoneticPr fontId="1"/>
  </si>
  <si>
    <t>(cd2)</t>
    <phoneticPr fontId="1"/>
  </si>
  <si>
    <t>(f)</t>
    <phoneticPr fontId="1"/>
  </si>
  <si>
    <t>(c3)</t>
    <phoneticPr fontId="1"/>
  </si>
  <si>
    <t>(c4)</t>
    <phoneticPr fontId="1"/>
  </si>
  <si>
    <t>(d3)</t>
    <phoneticPr fontId="1"/>
  </si>
  <si>
    <t>(d4)</t>
    <phoneticPr fontId="1"/>
  </si>
  <si>
    <t>特例なし補助員なしで認定を受ける</t>
    <rPh sb="0" eb="2">
      <t>トクレイ</t>
    </rPh>
    <rPh sb="10" eb="12">
      <t>ニンテイ</t>
    </rPh>
    <rPh sb="13" eb="14">
      <t>ウ</t>
    </rPh>
    <phoneticPr fontId="1"/>
  </si>
  <si>
    <t>特例なし補助員ありで認定を受ける</t>
    <rPh sb="0" eb="2">
      <t>トクレイ</t>
    </rPh>
    <rPh sb="10" eb="12">
      <t>ニンテイ</t>
    </rPh>
    <rPh sb="13" eb="14">
      <t>ウ</t>
    </rPh>
    <phoneticPr fontId="1"/>
  </si>
  <si>
    <t>特例あり補助員なしで認定を受ける</t>
    <rPh sb="0" eb="2">
      <t>トクレイ</t>
    </rPh>
    <rPh sb="10" eb="12">
      <t>ニンテイ</t>
    </rPh>
    <rPh sb="13" eb="14">
      <t>ウ</t>
    </rPh>
    <phoneticPr fontId="1"/>
  </si>
  <si>
    <t>特例あり補助員ありで認定を受ける</t>
    <rPh sb="0" eb="2">
      <t>トクレイ</t>
    </rPh>
    <rPh sb="10" eb="12">
      <t>ニンテイ</t>
    </rPh>
    <rPh sb="13" eb="14">
      <t>ウ</t>
    </rPh>
    <phoneticPr fontId="1"/>
  </si>
  <si>
    <t>(c1)</t>
    <phoneticPr fontId="1"/>
  </si>
  <si>
    <t>(c2)</t>
    <phoneticPr fontId="1"/>
  </si>
  <si>
    <t>(d1)</t>
    <phoneticPr fontId="1"/>
  </si>
  <si>
    <t>(e1)⑦計算結果(補正後)</t>
    <rPh sb="5" eb="7">
      <t>ケイサン</t>
    </rPh>
    <rPh sb="7" eb="9">
      <t>ケッカ</t>
    </rPh>
    <rPh sb="10" eb="12">
      <t>ホセイ</t>
    </rPh>
    <rPh sb="12" eb="13">
      <t>ゴ</t>
    </rPh>
    <phoneticPr fontId="1"/>
  </si>
  <si>
    <t>(e2)⑧計算結果(補正後)</t>
    <rPh sb="5" eb="7">
      <t>ケイサン</t>
    </rPh>
    <rPh sb="7" eb="9">
      <t>ケッカ</t>
    </rPh>
    <rPh sb="10" eb="12">
      <t>ホセイ</t>
    </rPh>
    <rPh sb="12" eb="13">
      <t>ゴ</t>
    </rPh>
    <phoneticPr fontId="1"/>
  </si>
  <si>
    <t>③計算結果</t>
    <phoneticPr fontId="1"/>
  </si>
  <si>
    <t>④計算結果</t>
    <phoneticPr fontId="1"/>
  </si>
  <si>
    <t>⑤計算結果</t>
    <phoneticPr fontId="1"/>
  </si>
  <si>
    <t>⑥計算結果</t>
    <phoneticPr fontId="1"/>
  </si>
  <si>
    <t>⑦計算結果</t>
    <phoneticPr fontId="1"/>
  </si>
  <si>
    <t>⑧計算結果</t>
    <phoneticPr fontId="1"/>
  </si>
  <si>
    <t>⑨計算結果</t>
    <phoneticPr fontId="1"/>
  </si>
  <si>
    <t>(f)⑨計算結果(補正後)</t>
    <rPh sb="4" eb="6">
      <t>ケイサン</t>
    </rPh>
    <rPh sb="6" eb="8">
      <t>ケッカ</t>
    </rPh>
    <rPh sb="9" eb="11">
      <t>ホセイ</t>
    </rPh>
    <rPh sb="11" eb="12">
      <t>ゴ</t>
    </rPh>
    <phoneticPr fontId="1"/>
  </si>
  <si>
    <t>⑩計算結果</t>
    <phoneticPr fontId="1"/>
  </si>
  <si>
    <t>(g1)⑩計算結果(補正後)</t>
    <rPh sb="5" eb="7">
      <t>ケイサン</t>
    </rPh>
    <rPh sb="7" eb="9">
      <t>ケッカ</t>
    </rPh>
    <rPh sb="10" eb="12">
      <t>ホセイ</t>
    </rPh>
    <rPh sb="12" eb="13">
      <t>ゴ</t>
    </rPh>
    <phoneticPr fontId="1"/>
  </si>
  <si>
    <t>(g2)⑪計算結果(補正後)</t>
    <rPh sb="5" eb="7">
      <t>ケイサン</t>
    </rPh>
    <rPh sb="7" eb="9">
      <t>ケッカ</t>
    </rPh>
    <rPh sb="10" eb="12">
      <t>ホセイ</t>
    </rPh>
    <rPh sb="12" eb="13">
      <t>ゴ</t>
    </rPh>
    <phoneticPr fontId="1"/>
  </si>
  <si>
    <t>⑫計算結果</t>
    <phoneticPr fontId="1"/>
  </si>
  <si>
    <t>(cd1)⑫計算結果(補正後)</t>
    <rPh sb="6" eb="8">
      <t>ケイサン</t>
    </rPh>
    <rPh sb="8" eb="10">
      <t>ケッカ</t>
    </rPh>
    <rPh sb="11" eb="13">
      <t>ホセイ</t>
    </rPh>
    <rPh sb="13" eb="14">
      <t>ゴ</t>
    </rPh>
    <phoneticPr fontId="1"/>
  </si>
  <si>
    <t>(d2)</t>
    <phoneticPr fontId="1"/>
  </si>
  <si>
    <t>(e1)</t>
    <phoneticPr fontId="1"/>
  </si>
  <si>
    <t>(e2)</t>
    <phoneticPr fontId="1"/>
  </si>
  <si>
    <t>(g1)</t>
    <phoneticPr fontId="1"/>
  </si>
  <si>
    <t>(g2)</t>
    <phoneticPr fontId="1"/>
  </si>
  <si>
    <t>特例あり補助員なしで認定を受ける</t>
  </si>
  <si>
    <t>特例あり補助員ありで認定を受ける</t>
  </si>
  <si>
    <t>【特例】定期供給設備点検及び定期消費設備調査をする一般消費者等がある場合(供給と消費で消費</t>
    <rPh sb="1" eb="3">
      <t>トクレイ</t>
    </rPh>
    <rPh sb="4" eb="6">
      <t>テイキ</t>
    </rPh>
    <rPh sb="6" eb="8">
      <t>キョウキュウ</t>
    </rPh>
    <rPh sb="8" eb="10">
      <t>セツビ</t>
    </rPh>
    <rPh sb="10" eb="12">
      <t>テンケン</t>
    </rPh>
    <rPh sb="12" eb="13">
      <t>オヨ</t>
    </rPh>
    <rPh sb="14" eb="16">
      <t>テイキ</t>
    </rPh>
    <rPh sb="16" eb="18">
      <t>ショウヒ</t>
    </rPh>
    <rPh sb="18" eb="20">
      <t>セツビ</t>
    </rPh>
    <rPh sb="20" eb="22">
      <t>チョウサ</t>
    </rPh>
    <rPh sb="25" eb="27">
      <t>イッパン</t>
    </rPh>
    <rPh sb="27" eb="29">
      <t>ショウヒ</t>
    </rPh>
    <rPh sb="29" eb="30">
      <t>シャ</t>
    </rPh>
    <rPh sb="30" eb="31">
      <t>トウ</t>
    </rPh>
    <rPh sb="34" eb="36">
      <t>バアイ</t>
    </rPh>
    <rPh sb="37" eb="39">
      <t>キョウキュウ</t>
    </rPh>
    <rPh sb="40" eb="42">
      <t>ショウヒ</t>
    </rPh>
    <rPh sb="43" eb="45">
      <t>ショウヒ</t>
    </rPh>
    <phoneticPr fontId="1"/>
  </si>
  <si>
    <t>者数が異なる場合、両方についてする戸数のみ特例を受け、それ以外の戸数についてはハ、ニによる)</t>
    <rPh sb="3" eb="4">
      <t>コト</t>
    </rPh>
    <rPh sb="6" eb="8">
      <t>バアイ</t>
    </rPh>
    <rPh sb="9" eb="11">
      <t>リョウホウ</t>
    </rPh>
    <rPh sb="17" eb="19">
      <t>コスウ</t>
    </rPh>
    <rPh sb="21" eb="23">
      <t>トクレイ</t>
    </rPh>
    <rPh sb="24" eb="25">
      <t>ウ</t>
    </rPh>
    <rPh sb="29" eb="31">
      <t>イガイ</t>
    </rPh>
    <rPh sb="32" eb="34">
      <t>コスウ</t>
    </rPh>
    <phoneticPr fontId="1"/>
  </si>
  <si>
    <t>【特例】定期供給設備点検</t>
    <rPh sb="1" eb="3">
      <t>トクレイ</t>
    </rPh>
    <rPh sb="4" eb="6">
      <t>テイキ</t>
    </rPh>
    <rPh sb="6" eb="8">
      <t>キョウキュウ</t>
    </rPh>
    <rPh sb="8" eb="10">
      <t>セツビ</t>
    </rPh>
    <rPh sb="10" eb="12">
      <t>テンケン</t>
    </rPh>
    <phoneticPr fontId="1"/>
  </si>
  <si>
    <t>　　　　及び定期消費調査</t>
    <phoneticPr fontId="1"/>
  </si>
  <si>
    <t>【特例なし】かつ【補助員なし】</t>
    <rPh sb="1" eb="3">
      <t>トクレイ</t>
    </rPh>
    <rPh sb="9" eb="12">
      <t>ホジョイン</t>
    </rPh>
    <phoneticPr fontId="1"/>
  </si>
  <si>
    <t>⑤計算結果(補正後)</t>
    <rPh sb="1" eb="3">
      <t>ケイサン</t>
    </rPh>
    <rPh sb="3" eb="5">
      <t>ケッカ</t>
    </rPh>
    <rPh sb="6" eb="8">
      <t>ホセイ</t>
    </rPh>
    <rPh sb="8" eb="9">
      <t>ゴ</t>
    </rPh>
    <phoneticPr fontId="1"/>
  </si>
  <si>
    <t>⑥計算結果(補正後)</t>
    <rPh sb="1" eb="3">
      <t>ケイサン</t>
    </rPh>
    <rPh sb="3" eb="5">
      <t>ケッカ</t>
    </rPh>
    <rPh sb="6" eb="8">
      <t>ホセイ</t>
    </rPh>
    <rPh sb="8" eb="9">
      <t>ゴ</t>
    </rPh>
    <phoneticPr fontId="1"/>
  </si>
  <si>
    <t>補助員数の計算値</t>
    <rPh sb="0" eb="3">
      <t>ホジョイン</t>
    </rPh>
    <rPh sb="3" eb="4">
      <t>スウ</t>
    </rPh>
    <rPh sb="5" eb="8">
      <t>ケイサンチ</t>
    </rPh>
    <phoneticPr fontId="1"/>
  </si>
  <si>
    <t>補助員の在籍数</t>
    <rPh sb="0" eb="3">
      <t>ホジョイン</t>
    </rPh>
    <rPh sb="4" eb="6">
      <t>ザイセキ</t>
    </rPh>
    <rPh sb="6" eb="7">
      <t>カズ</t>
    </rPh>
    <phoneticPr fontId="1"/>
  </si>
  <si>
    <t>調査員の数</t>
    <rPh sb="0" eb="2">
      <t>チョウサ</t>
    </rPh>
    <rPh sb="2" eb="3">
      <t>イン</t>
    </rPh>
    <rPh sb="4" eb="5">
      <t>スウ</t>
    </rPh>
    <phoneticPr fontId="1"/>
  </si>
  <si>
    <t>シート「滋様13-11」へ移動</t>
    <phoneticPr fontId="1"/>
  </si>
  <si>
    <t>供給開始時点検・調査の認定</t>
    <rPh sb="0" eb="2">
      <t>キョウキュウ</t>
    </rPh>
    <rPh sb="2" eb="4">
      <t>カイシ</t>
    </rPh>
    <rPh sb="4" eb="5">
      <t>ジ</t>
    </rPh>
    <rPh sb="5" eb="7">
      <t>テンケン</t>
    </rPh>
    <rPh sb="8" eb="10">
      <t>チョウサ</t>
    </rPh>
    <rPh sb="11" eb="13">
      <t>ニンテイ</t>
    </rPh>
    <phoneticPr fontId="1"/>
  </si>
  <si>
    <t>容器交換時等供給設備点検の認定</t>
    <rPh sb="0" eb="2">
      <t>ヨウキ</t>
    </rPh>
    <rPh sb="2" eb="4">
      <t>コウカン</t>
    </rPh>
    <rPh sb="4" eb="5">
      <t>ジ</t>
    </rPh>
    <rPh sb="5" eb="6">
      <t>トウ</t>
    </rPh>
    <rPh sb="6" eb="8">
      <t>キョウキュウ</t>
    </rPh>
    <rPh sb="8" eb="10">
      <t>セツビ</t>
    </rPh>
    <rPh sb="10" eb="12">
      <t>テンケン</t>
    </rPh>
    <rPh sb="13" eb="15">
      <t>ニンテイ</t>
    </rPh>
    <phoneticPr fontId="1"/>
  </si>
  <si>
    <t>事業者名</t>
    <rPh sb="0" eb="3">
      <t>ジギョウシャ</t>
    </rPh>
    <rPh sb="3" eb="4">
      <t>メイ</t>
    </rPh>
    <phoneticPr fontId="1"/>
  </si>
  <si>
    <t>事業所の名称</t>
    <rPh sb="0" eb="3">
      <t>ジギョウショ</t>
    </rPh>
    <rPh sb="4" eb="6">
      <t>メイショウ</t>
    </rPh>
    <phoneticPr fontId="1"/>
  </si>
  <si>
    <t>定期供給設備点検および定期消費設備調査の特例</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phoneticPr fontId="1"/>
  </si>
  <si>
    <t>定期供給設備点検の認定</t>
    <rPh sb="0" eb="2">
      <t>テイキ</t>
    </rPh>
    <rPh sb="2" eb="4">
      <t>キョウキュウ</t>
    </rPh>
    <rPh sb="4" eb="6">
      <t>セツビ</t>
    </rPh>
    <rPh sb="6" eb="8">
      <t>テンケン</t>
    </rPh>
    <rPh sb="9" eb="11">
      <t>ニンテイ</t>
    </rPh>
    <phoneticPr fontId="1"/>
  </si>
  <si>
    <t>定期消費設備調査</t>
    <rPh sb="0" eb="2">
      <t>テイキ</t>
    </rPh>
    <rPh sb="2" eb="4">
      <t>ショウヒ</t>
    </rPh>
    <rPh sb="4" eb="6">
      <t>セツビ</t>
    </rPh>
    <rPh sb="6" eb="8">
      <t>チョウサ</t>
    </rPh>
    <phoneticPr fontId="1"/>
  </si>
  <si>
    <t>定期消費設備調査の補助員</t>
    <rPh sb="0" eb="2">
      <t>テイキ</t>
    </rPh>
    <rPh sb="2" eb="4">
      <t>ショウヒ</t>
    </rPh>
    <rPh sb="4" eb="6">
      <t>セツビ</t>
    </rPh>
    <rPh sb="6" eb="8">
      <t>チョウサ</t>
    </rPh>
    <rPh sb="9" eb="12">
      <t>ホジョイン</t>
    </rPh>
    <phoneticPr fontId="1"/>
  </si>
  <si>
    <t>定期供給設備点検の補助員</t>
    <rPh sb="0" eb="2">
      <t>テイキ</t>
    </rPh>
    <rPh sb="2" eb="4">
      <t>キョウキュウ</t>
    </rPh>
    <rPh sb="4" eb="6">
      <t>セツビ</t>
    </rPh>
    <rPh sb="6" eb="8">
      <t>テンケン</t>
    </rPh>
    <rPh sb="9" eb="12">
      <t>ホジョイン</t>
    </rPh>
    <phoneticPr fontId="1"/>
  </si>
  <si>
    <t>周知の認定</t>
    <rPh sb="0" eb="2">
      <t>シュウチ</t>
    </rPh>
    <rPh sb="3" eb="5">
      <t>ニンテイ</t>
    </rPh>
    <phoneticPr fontId="1"/>
  </si>
  <si>
    <t>周知の特例</t>
    <rPh sb="0" eb="2">
      <t>シュウチ</t>
    </rPh>
    <rPh sb="3" eb="5">
      <t>トクレイ</t>
    </rPh>
    <phoneticPr fontId="1"/>
  </si>
  <si>
    <t>緊急時対応の認定</t>
    <rPh sb="0" eb="3">
      <t>キンキュウジ</t>
    </rPh>
    <rPh sb="3" eb="5">
      <t>タイオウ</t>
    </rPh>
    <rPh sb="6" eb="8">
      <t>ニンテイ</t>
    </rPh>
    <phoneticPr fontId="1"/>
  </si>
  <si>
    <t>緊急時連絡の認定</t>
    <rPh sb="0" eb="3">
      <t>キンキュウジ</t>
    </rPh>
    <rPh sb="3" eb="5">
      <t>レンラク</t>
    </rPh>
    <rPh sb="6" eb="8">
      <t>ニンテイ</t>
    </rPh>
    <phoneticPr fontId="1"/>
  </si>
  <si>
    <t>事業所に常時配置する保安業務資格者の数</t>
    <rPh sb="0" eb="3">
      <t>ジギョウショ</t>
    </rPh>
    <rPh sb="4" eb="6">
      <t>ジョウジ</t>
    </rPh>
    <rPh sb="6" eb="8">
      <t>ハイチ</t>
    </rPh>
    <rPh sb="10" eb="12">
      <t>ホアン</t>
    </rPh>
    <rPh sb="12" eb="14">
      <t>ギョウム</t>
    </rPh>
    <rPh sb="14" eb="17">
      <t>シカクシャ</t>
    </rPh>
    <rPh sb="18" eb="19">
      <t>カズ</t>
    </rPh>
    <phoneticPr fontId="1"/>
  </si>
  <si>
    <t>事業所に10分以内に到着できる保安業務資格者の数</t>
    <rPh sb="0" eb="3">
      <t>ジギョウショ</t>
    </rPh>
    <rPh sb="6" eb="7">
      <t>フン</t>
    </rPh>
    <rPh sb="7" eb="9">
      <t>イナイ</t>
    </rPh>
    <rPh sb="10" eb="12">
      <t>トウチャク</t>
    </rPh>
    <rPh sb="15" eb="17">
      <t>ホアン</t>
    </rPh>
    <rPh sb="17" eb="19">
      <t>ギョウム</t>
    </rPh>
    <rPh sb="19" eb="21">
      <t>シカク</t>
    </rPh>
    <rPh sb="21" eb="22">
      <t>シャ</t>
    </rPh>
    <rPh sb="23" eb="24">
      <t>カズ</t>
    </rPh>
    <phoneticPr fontId="1"/>
  </si>
  <si>
    <t>保安業務資格者の常時配置</t>
    <rPh sb="0" eb="2">
      <t>ホアン</t>
    </rPh>
    <rPh sb="2" eb="4">
      <t>ギョウム</t>
    </rPh>
    <rPh sb="4" eb="7">
      <t>シカクシャ</t>
    </rPh>
    <rPh sb="8" eb="10">
      <t>ジョウジ</t>
    </rPh>
    <rPh sb="10" eb="12">
      <t>ハイチ</t>
    </rPh>
    <phoneticPr fontId="1"/>
  </si>
  <si>
    <t>⑱計算結果(特例による場合で、定期供給設備点検の一般消費者を上回る定期消費設備調査数に対するものの計算)</t>
  </si>
  <si>
    <t>⑯計算結果(特例による場合で、定期消費設備調査の一般消費者を上回る定期供給設備点検数に対するものの計算)</t>
  </si>
  <si>
    <t>(c3)⑯計算結果(補正後)(特例による場合で、定期消費設備調査の一般消費者を上回る定期供給設備点検数に対するものの計算)</t>
    <rPh sb="5" eb="7">
      <t>ケイサン</t>
    </rPh>
    <rPh sb="7" eb="9">
      <t>ケッカ</t>
    </rPh>
    <rPh sb="10" eb="12">
      <t>ホセイ</t>
    </rPh>
    <rPh sb="12" eb="13">
      <t>ゴ</t>
    </rPh>
    <rPh sb="15" eb="17">
      <t>トクレイ</t>
    </rPh>
    <phoneticPr fontId="1"/>
  </si>
  <si>
    <t>⑭計算結果</t>
  </si>
  <si>
    <t>(cd2)⑭計算結果(補正後)</t>
    <rPh sb="6" eb="8">
      <t>ケイサン</t>
    </rPh>
    <rPh sb="8" eb="10">
      <t>ケッカ</t>
    </rPh>
    <rPh sb="11" eb="13">
      <t>ホセイ</t>
    </rPh>
    <rPh sb="13" eb="14">
      <t>ゴ</t>
    </rPh>
    <phoneticPr fontId="1"/>
  </si>
  <si>
    <t>⑬計算結果</t>
    <rPh sb="1" eb="3">
      <t>ケイサン</t>
    </rPh>
    <rPh sb="3" eb="5">
      <t>ケッカ</t>
    </rPh>
    <phoneticPr fontId="1"/>
  </si>
  <si>
    <t>(d5)⑬計算結果(補正後)</t>
    <rPh sb="5" eb="7">
      <t>ケイサン</t>
    </rPh>
    <rPh sb="7" eb="9">
      <t>ケッカ</t>
    </rPh>
    <rPh sb="10" eb="12">
      <t>ホセイ</t>
    </rPh>
    <rPh sb="12" eb="13">
      <t>ゴ</t>
    </rPh>
    <phoneticPr fontId="1"/>
  </si>
  <si>
    <t>⑲計算結果(特例による場合で、定期供給設備点検の一般消費者を上回る定期消費設備調査数に対するものの計算)</t>
  </si>
  <si>
    <t>(d4)⑲計算結果(補正後)(特例による場合で、定期供給設備点検の一般消費者を上回る定期消費設備調査数に対するものの計算)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</si>
  <si>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(d3)⑱計算結果(補正後)(特例による場合で、定期供給設備点検の一般消費者を上回る定期消費設備調査数に対するものの計算)</t>
    <rPh sb="5" eb="7">
      <t>ケイサン</t>
    </rPh>
    <rPh sb="7" eb="9">
      <t>ケッカ</t>
    </rPh>
    <rPh sb="10" eb="12">
      <t>ホセイ</t>
    </rPh>
    <rPh sb="12" eb="13">
      <t>ゴ</t>
    </rPh>
    <phoneticPr fontId="1"/>
  </si>
  <si>
    <t>⑰計算結果(特例による場合で、定期消費設備調査の一般消費者を上回る定期供給設備点検数に対するものの計算)</t>
  </si>
  <si>
    <t>(c4)⑰計算結果(補正後)(特例による場合で、定期消費設備調査の一般消費者を上回る定期供給設備点検数に対するものの計算)</t>
    <rPh sb="5" eb="7">
      <t>ケイサン</t>
    </rPh>
    <rPh sb="7" eb="9">
      <t>ケッカ</t>
    </rPh>
    <rPh sb="10" eb="12">
      <t>ホセイ</t>
    </rPh>
    <rPh sb="12" eb="13">
      <t>ゴ</t>
    </rPh>
    <phoneticPr fontId="1"/>
  </si>
  <si>
    <t>⑮計算結果</t>
    <rPh sb="1" eb="3">
      <t>ケイサン</t>
    </rPh>
    <rPh sb="3" eb="5">
      <t>ケッカ</t>
    </rPh>
    <phoneticPr fontId="1"/>
  </si>
  <si>
    <t>(d6)⑮計算結果(補正後)</t>
    <phoneticPr fontId="1"/>
  </si>
  <si>
    <t>(d5)</t>
    <phoneticPr fontId="1"/>
  </si>
  <si>
    <t>(d6)</t>
    <phoneticPr fontId="1"/>
  </si>
  <si>
    <t>1. 保安業務に係る技術的能力の算定に係る計算式</t>
    <rPh sb="3" eb="5">
      <t>ホアン</t>
    </rPh>
    <rPh sb="5" eb="7">
      <t>ギョウム</t>
    </rPh>
    <rPh sb="8" eb="9">
      <t>カカ</t>
    </rPh>
    <rPh sb="10" eb="13">
      <t>ギジュツテキ</t>
    </rPh>
    <rPh sb="13" eb="15">
      <t>ノウリョク</t>
    </rPh>
    <rPh sb="16" eb="18">
      <t>サンテイ</t>
    </rPh>
    <rPh sb="19" eb="20">
      <t>カカ</t>
    </rPh>
    <rPh sb="21" eb="24">
      <t>ケイサンシキ</t>
    </rPh>
    <phoneticPr fontId="1"/>
  </si>
  <si>
    <t>2. 業務区分ごとの計算結果のまとめ</t>
    <rPh sb="3" eb="5">
      <t>ギョウム</t>
    </rPh>
    <rPh sb="5" eb="7">
      <t>クブン</t>
    </rPh>
    <rPh sb="10" eb="12">
      <t>ケイサン</t>
    </rPh>
    <rPh sb="12" eb="14">
      <t>ケッカ</t>
    </rPh>
    <phoneticPr fontId="1"/>
  </si>
  <si>
    <t>※計算しなかったところについては、「－」を記載する。</t>
    <rPh sb="21" eb="23">
      <t>キサイ</t>
    </rPh>
    <phoneticPr fontId="1"/>
  </si>
  <si>
    <t>(h)⑲計算結果(補正後)</t>
    <rPh sb="4" eb="6">
      <t>ケイサン</t>
    </rPh>
    <rPh sb="6" eb="8">
      <t>ケッカ</t>
    </rPh>
    <rPh sb="9" eb="11">
      <t>ホセイ</t>
    </rPh>
    <rPh sb="11" eb="12">
      <t>ゴ</t>
    </rPh>
    <phoneticPr fontId="1"/>
  </si>
  <si>
    <t>定期供給設備点検および定期消費設備調査の特例ありの場合で、特例適用されない定期供給設備点検または定期消費設備調査</t>
    <rPh sb="0" eb="2">
      <t>テイキ</t>
    </rPh>
    <rPh sb="2" eb="4">
      <t>キョウキュウ</t>
    </rPh>
    <rPh sb="4" eb="6">
      <t>セツビ</t>
    </rPh>
    <rPh sb="6" eb="8">
      <t>テンケン</t>
    </rPh>
    <rPh sb="11" eb="13">
      <t>テイキ</t>
    </rPh>
    <rPh sb="13" eb="15">
      <t>ショウヒ</t>
    </rPh>
    <rPh sb="15" eb="17">
      <t>セツビ</t>
    </rPh>
    <rPh sb="17" eb="19">
      <t>チョウサ</t>
    </rPh>
    <rPh sb="20" eb="22">
      <t>トクレイ</t>
    </rPh>
    <rPh sb="25" eb="27">
      <t>バアイ</t>
    </rPh>
    <rPh sb="29" eb="31">
      <t>トクレイ</t>
    </rPh>
    <rPh sb="31" eb="33">
      <t>テキヨウ</t>
    </rPh>
    <rPh sb="37" eb="39">
      <t>テイキ</t>
    </rPh>
    <rPh sb="39" eb="41">
      <t>キョウキュウ</t>
    </rPh>
    <rPh sb="41" eb="43">
      <t>セツビ</t>
    </rPh>
    <rPh sb="43" eb="45">
      <t>テンケン</t>
    </rPh>
    <rPh sb="48" eb="50">
      <t>テイキ</t>
    </rPh>
    <rPh sb="50" eb="52">
      <t>ショウヒ</t>
    </rPh>
    <rPh sb="52" eb="54">
      <t>セツビ</t>
    </rPh>
    <rPh sb="54" eb="56">
      <t>チョウサ</t>
    </rPh>
    <phoneticPr fontId="1"/>
  </si>
  <si>
    <t>特例による</t>
    <rPh sb="0" eb="2">
      <t>トクレイ</t>
    </rPh>
    <phoneticPr fontId="1"/>
  </si>
  <si>
    <t>3. 保安業務資格者</t>
    <rPh sb="3" eb="5">
      <t>ホアン</t>
    </rPh>
    <rPh sb="5" eb="7">
      <t>ギョウム</t>
    </rPh>
    <rPh sb="7" eb="10">
      <t>シカクシャ</t>
    </rPh>
    <phoneticPr fontId="1"/>
  </si>
  <si>
    <t>3-1 保安業務資格者数</t>
    <rPh sb="4" eb="6">
      <t>ホアン</t>
    </rPh>
    <rPh sb="6" eb="8">
      <t>ギョウム</t>
    </rPh>
    <rPh sb="8" eb="11">
      <t>シカクシャ</t>
    </rPh>
    <rPh sb="11" eb="12">
      <t>スウ</t>
    </rPh>
    <phoneticPr fontId="1"/>
  </si>
  <si>
    <t>3-2 補助員数（補助員ありのみの合計）</t>
    <rPh sb="4" eb="7">
      <t>ホジョイン</t>
    </rPh>
    <rPh sb="7" eb="8">
      <t>スウ</t>
    </rPh>
    <rPh sb="9" eb="12">
      <t>ホジョイン</t>
    </rPh>
    <rPh sb="17" eb="19">
      <t>ゴウケイ</t>
    </rPh>
    <phoneticPr fontId="1"/>
  </si>
  <si>
    <t>3-3 緊急時対応をする事業所に常駐する保安業務資格者の数</t>
    <rPh sb="4" eb="7">
      <t>キンキュウジ</t>
    </rPh>
    <rPh sb="7" eb="9">
      <t>タイオウ</t>
    </rPh>
    <rPh sb="12" eb="15">
      <t>ジギョウショ</t>
    </rPh>
    <rPh sb="16" eb="18">
      <t>ジョウチュウ</t>
    </rPh>
    <rPh sb="20" eb="27">
      <t>ホアンギョウムシカクシャ</t>
    </rPh>
    <rPh sb="28" eb="29">
      <t>ジョウスウ</t>
    </rPh>
    <phoneticPr fontId="1"/>
  </si>
  <si>
    <t>・上記以外にLPガスに関するその他の業務がある場合は、その業務の内容を記載する
・上記以外にＬＰガスに関するその他の業務が無い場合には、「なし」を記載</t>
    <rPh sb="1" eb="3">
      <t>ジョウキ</t>
    </rPh>
    <rPh sb="3" eb="5">
      <t>イガイ</t>
    </rPh>
    <rPh sb="11" eb="12">
      <t>カン</t>
    </rPh>
    <rPh sb="16" eb="17">
      <t>タ</t>
    </rPh>
    <rPh sb="18" eb="20">
      <t>ギョウム</t>
    </rPh>
    <rPh sb="23" eb="25">
      <t>バアイ</t>
    </rPh>
    <rPh sb="29" eb="31">
      <t>ギョウム</t>
    </rPh>
    <rPh sb="32" eb="34">
      <t>ナイヨウ</t>
    </rPh>
    <rPh sb="35" eb="37">
      <t>キサイ</t>
    </rPh>
    <rPh sb="41" eb="43">
      <t>ジョウキ</t>
    </rPh>
    <rPh sb="43" eb="45">
      <t>イガイ</t>
    </rPh>
    <rPh sb="51" eb="52">
      <t>カン</t>
    </rPh>
    <rPh sb="56" eb="57">
      <t>タ</t>
    </rPh>
    <rPh sb="58" eb="60">
      <t>ギョウム</t>
    </rPh>
    <rPh sb="61" eb="62">
      <t>ナ</t>
    </rPh>
    <rPh sb="63" eb="65">
      <t>バアイ</t>
    </rPh>
    <rPh sb="73" eb="75">
      <t>キサイ</t>
    </rPh>
    <phoneticPr fontId="1"/>
  </si>
  <si>
    <t>申請者名</t>
    <rPh sb="0" eb="3">
      <t>シンセイシャ</t>
    </rPh>
    <rPh sb="3" eb="4">
      <t>メイ</t>
    </rPh>
    <phoneticPr fontId="1"/>
  </si>
  <si>
    <t>申請年月日</t>
    <rPh sb="0" eb="2">
      <t>シンセイ</t>
    </rPh>
    <rPh sb="2" eb="5">
      <t>ネンガッピ</t>
    </rPh>
    <phoneticPr fontId="1"/>
  </si>
  <si>
    <t>申請書の名称</t>
    <rPh sb="0" eb="3">
      <t>シンセイショ</t>
    </rPh>
    <rPh sb="4" eb="6">
      <t>メイショウ</t>
    </rPh>
    <phoneticPr fontId="1"/>
  </si>
  <si>
    <t>手数料</t>
    <rPh sb="0" eb="3">
      <t>テスウリョウ</t>
    </rPh>
    <phoneticPr fontId="1"/>
  </si>
  <si>
    <t>滋賀県収入証紙　貼付欄</t>
    <rPh sb="0" eb="3">
      <t>シガケン</t>
    </rPh>
    <rPh sb="3" eb="5">
      <t>シュウニュウ</t>
    </rPh>
    <rPh sb="5" eb="7">
      <t>ショウシ</t>
    </rPh>
    <rPh sb="8" eb="9">
      <t>ハ</t>
    </rPh>
    <rPh sb="9" eb="10">
      <t>ツ</t>
    </rPh>
    <rPh sb="10" eb="11">
      <t>ラン</t>
    </rPh>
    <phoneticPr fontId="1"/>
  </si>
  <si>
    <t>※滋賀県収入証紙は、滋賀県使用料および手数料条例第２条第２項（62）（別表第55）で必要額</t>
    <rPh sb="1" eb="4">
      <t>シガケン</t>
    </rPh>
    <rPh sb="4" eb="6">
      <t>シュウニュウ</t>
    </rPh>
    <rPh sb="6" eb="8">
      <t>ショウシ</t>
    </rPh>
    <rPh sb="10" eb="13">
      <t>シガケン</t>
    </rPh>
    <rPh sb="13" eb="16">
      <t>シヨウリョウ</t>
    </rPh>
    <rPh sb="19" eb="22">
      <t>テスウリョウ</t>
    </rPh>
    <rPh sb="22" eb="24">
      <t>ジョウレイ</t>
    </rPh>
    <rPh sb="24" eb="25">
      <t>ダイ</t>
    </rPh>
    <rPh sb="26" eb="27">
      <t>ジョウ</t>
    </rPh>
    <rPh sb="27" eb="28">
      <t>ダイ</t>
    </rPh>
    <rPh sb="29" eb="30">
      <t>コウ</t>
    </rPh>
    <rPh sb="35" eb="37">
      <t>ベッピョウ</t>
    </rPh>
    <rPh sb="37" eb="38">
      <t>ダイ</t>
    </rPh>
    <rPh sb="42" eb="44">
      <t>ヒツヨウ</t>
    </rPh>
    <rPh sb="44" eb="45">
      <t>ガク</t>
    </rPh>
    <phoneticPr fontId="1"/>
  </si>
  <si>
    <t>　を確認して貼り付けしてください。</t>
    <phoneticPr fontId="1"/>
  </si>
  <si>
    <t>収入証紙</t>
    <rPh sb="0" eb="2">
      <t>シュウニュウ</t>
    </rPh>
    <rPh sb="2" eb="4">
      <t>ショウシ</t>
    </rPh>
    <phoneticPr fontId="1"/>
  </si>
  <si>
    <t>収入証紙の額</t>
    <rPh sb="0" eb="2">
      <t>シュウニュウ</t>
    </rPh>
    <rPh sb="2" eb="4">
      <t>ショウシ</t>
    </rPh>
    <rPh sb="5" eb="6">
      <t>ガク</t>
    </rPh>
    <phoneticPr fontId="1"/>
  </si>
  <si>
    <t>□</t>
  </si>
  <si>
    <t>様式第14「保安機関認定更新申請書」</t>
    <rPh sb="0" eb="2">
      <t>ヨウシキ</t>
    </rPh>
    <rPh sb="2" eb="3">
      <t>ダイ</t>
    </rPh>
    <rPh sb="6" eb="8">
      <t>ホアン</t>
    </rPh>
    <rPh sb="8" eb="10">
      <t>キカン</t>
    </rPh>
    <rPh sb="10" eb="12">
      <t>ニンテイ</t>
    </rPh>
    <rPh sb="12" eb="14">
      <t>コウシン</t>
    </rPh>
    <rPh sb="14" eb="17">
      <t>シンセイショ</t>
    </rPh>
    <phoneticPr fontId="1"/>
  </si>
  <si>
    <t>滋賀県収入証紙</t>
    <rPh sb="0" eb="3">
      <t>シガケン</t>
    </rPh>
    <rPh sb="3" eb="5">
      <t>シュウニュウ</t>
    </rPh>
    <rPh sb="5" eb="7">
      <t>ショウシ</t>
    </rPh>
    <phoneticPr fontId="1"/>
  </si>
  <si>
    <t>様式第13「保安業務計画書」</t>
    <rPh sb="0" eb="2">
      <t>ヨウシキ</t>
    </rPh>
    <rPh sb="2" eb="3">
      <t>ダイ</t>
    </rPh>
    <rPh sb="6" eb="8">
      <t>ホアン</t>
    </rPh>
    <rPh sb="8" eb="10">
      <t>ギョウム</t>
    </rPh>
    <rPh sb="10" eb="12">
      <t>ケイカク</t>
    </rPh>
    <rPh sb="12" eb="13">
      <t>ショ</t>
    </rPh>
    <phoneticPr fontId="1"/>
  </si>
  <si>
    <t>滋LP様式第13-1「保安機関の説明書」</t>
    <rPh sb="0" eb="1">
      <t>ジ</t>
    </rPh>
    <rPh sb="3" eb="5">
      <t>ヨウシキ</t>
    </rPh>
    <rPh sb="5" eb="6">
      <t>ダイ</t>
    </rPh>
    <rPh sb="11" eb="13">
      <t>ホアン</t>
    </rPh>
    <rPh sb="13" eb="15">
      <t>キカン</t>
    </rPh>
    <rPh sb="16" eb="19">
      <t>セツメイショ</t>
    </rPh>
    <phoneticPr fontId="1"/>
  </si>
  <si>
    <t>□</t>
    <phoneticPr fontId="1"/>
  </si>
  <si>
    <t>滋LP様式第13-3「緊急時対応の方法を説明した書面」</t>
    <rPh sb="0" eb="1">
      <t>ジ</t>
    </rPh>
    <rPh sb="3" eb="5">
      <t>ヨウシキ</t>
    </rPh>
    <rPh sb="5" eb="6">
      <t>ダイ</t>
    </rPh>
    <rPh sb="11" eb="14">
      <t>キンキュウジ</t>
    </rPh>
    <rPh sb="14" eb="16">
      <t>タイオウ</t>
    </rPh>
    <rPh sb="17" eb="19">
      <t>ホウホウ</t>
    </rPh>
    <rPh sb="20" eb="22">
      <t>セツメイ</t>
    </rPh>
    <rPh sb="24" eb="26">
      <t>ショメン</t>
    </rPh>
    <phoneticPr fontId="1"/>
  </si>
  <si>
    <t>緊急時対応時に出動するための手段の写真</t>
    <rPh sb="0" eb="3">
      <t>キンキュウジ</t>
    </rPh>
    <rPh sb="3" eb="5">
      <t>タイオウ</t>
    </rPh>
    <rPh sb="5" eb="6">
      <t>ジ</t>
    </rPh>
    <rPh sb="7" eb="9">
      <t>シュツドウ</t>
    </rPh>
    <rPh sb="14" eb="16">
      <t>シュダン</t>
    </rPh>
    <rPh sb="17" eb="19">
      <t>シャシン</t>
    </rPh>
    <phoneticPr fontId="1"/>
  </si>
  <si>
    <t>滋LP様式第13-5「役員及び規則第33条に定める構成員の構成を説明した書面」</t>
    <rPh sb="0" eb="1">
      <t>ジ</t>
    </rPh>
    <rPh sb="3" eb="5">
      <t>ヨウシキ</t>
    </rPh>
    <rPh sb="5" eb="6">
      <t>ダイ</t>
    </rPh>
    <rPh sb="11" eb="13">
      <t>ヤクイン</t>
    </rPh>
    <rPh sb="13" eb="14">
      <t>オヨ</t>
    </rPh>
    <rPh sb="15" eb="17">
      <t>キソク</t>
    </rPh>
    <rPh sb="17" eb="18">
      <t>ダイ</t>
    </rPh>
    <rPh sb="20" eb="21">
      <t>ジョウ</t>
    </rPh>
    <rPh sb="22" eb="23">
      <t>サダ</t>
    </rPh>
    <rPh sb="25" eb="28">
      <t>コウセイイン</t>
    </rPh>
    <rPh sb="29" eb="31">
      <t>コウセイ</t>
    </rPh>
    <rPh sb="32" eb="34">
      <t>セツメイ</t>
    </rPh>
    <rPh sb="36" eb="38">
      <t>ショメン</t>
    </rPh>
    <phoneticPr fontId="1"/>
  </si>
  <si>
    <t>滋LP様式第13-6「保安業務以外の業務の種類及び概要を記載した書面」</t>
    <rPh sb="0" eb="1">
      <t>ジ</t>
    </rPh>
    <rPh sb="3" eb="5">
      <t>ヨウシキ</t>
    </rPh>
    <rPh sb="5" eb="6">
      <t>ダイ</t>
    </rPh>
    <rPh sb="11" eb="13">
      <t>ホアン</t>
    </rPh>
    <rPh sb="13" eb="15">
      <t>ギョウム</t>
    </rPh>
    <rPh sb="15" eb="17">
      <t>イガイ</t>
    </rPh>
    <rPh sb="18" eb="20">
      <t>ギョウム</t>
    </rPh>
    <rPh sb="21" eb="23">
      <t>シュルイ</t>
    </rPh>
    <rPh sb="23" eb="24">
      <t>オヨ</t>
    </rPh>
    <rPh sb="25" eb="27">
      <t>ガイヨウ</t>
    </rPh>
    <rPh sb="28" eb="30">
      <t>キサイ</t>
    </rPh>
    <rPh sb="32" eb="34">
      <t>ショメン</t>
    </rPh>
    <phoneticPr fontId="1"/>
  </si>
  <si>
    <t>法人の定款</t>
    <rPh sb="0" eb="2">
      <t>ホウジン</t>
    </rPh>
    <rPh sb="3" eb="5">
      <t>テイカン</t>
    </rPh>
    <phoneticPr fontId="1"/>
  </si>
  <si>
    <t>法人の登記事項証明書</t>
    <rPh sb="0" eb="2">
      <t>ホウジン</t>
    </rPh>
    <rPh sb="3" eb="5">
      <t>トウキ</t>
    </rPh>
    <rPh sb="5" eb="7">
      <t>ジコウ</t>
    </rPh>
    <rPh sb="7" eb="10">
      <t>ショウメイショ</t>
    </rPh>
    <phoneticPr fontId="1"/>
  </si>
  <si>
    <t>滋LP様式第13-7「欠格条項に該当しないことの誓約書(法人用)」</t>
    <rPh sb="0" eb="1">
      <t>ジ</t>
    </rPh>
    <rPh sb="3" eb="5">
      <t>ヨウシキ</t>
    </rPh>
    <rPh sb="5" eb="6">
      <t>ダイ</t>
    </rPh>
    <rPh sb="11" eb="13">
      <t>ケッカク</t>
    </rPh>
    <rPh sb="13" eb="15">
      <t>ジョウコウ</t>
    </rPh>
    <rPh sb="16" eb="18">
      <t>ガイトウ</t>
    </rPh>
    <rPh sb="24" eb="27">
      <t>セイヤクショ</t>
    </rPh>
    <rPh sb="28" eb="31">
      <t>ホウジンヨウ</t>
    </rPh>
    <phoneticPr fontId="1"/>
  </si>
  <si>
    <t>滋LP様式第13-8「欠格条項に該当しないことの誓約書(個人用)」</t>
    <rPh sb="0" eb="1">
      <t>ジ</t>
    </rPh>
    <rPh sb="3" eb="5">
      <t>ヨウシキ</t>
    </rPh>
    <rPh sb="5" eb="6">
      <t>ダイ</t>
    </rPh>
    <rPh sb="11" eb="13">
      <t>ケッカク</t>
    </rPh>
    <rPh sb="13" eb="15">
      <t>ジョウコウ</t>
    </rPh>
    <rPh sb="16" eb="18">
      <t>ガイトウ</t>
    </rPh>
    <rPh sb="24" eb="27">
      <t>セイヤクショ</t>
    </rPh>
    <rPh sb="28" eb="31">
      <t>コジンヨウ</t>
    </rPh>
    <phoneticPr fontId="1"/>
  </si>
  <si>
    <t>滋LP様式第13-9「保安業務に係る技術的能力の算定書」</t>
    <rPh sb="0" eb="1">
      <t>ジ</t>
    </rPh>
    <rPh sb="3" eb="5">
      <t>ヨウシキ</t>
    </rPh>
    <rPh sb="5" eb="6">
      <t>ダイ</t>
    </rPh>
    <rPh sb="11" eb="13">
      <t>ホアン</t>
    </rPh>
    <rPh sb="13" eb="15">
      <t>ギョウム</t>
    </rPh>
    <rPh sb="16" eb="17">
      <t>カカ</t>
    </rPh>
    <rPh sb="18" eb="21">
      <t>ギジュツテキ</t>
    </rPh>
    <rPh sb="21" eb="23">
      <t>ノウリョク</t>
    </rPh>
    <rPh sb="24" eb="26">
      <t>サンテイ</t>
    </rPh>
    <rPh sb="26" eb="27">
      <t>ショ</t>
    </rPh>
    <phoneticPr fontId="1"/>
  </si>
  <si>
    <t>滋LP様式第13-10「保安業務資格者名簿および在籍証明書」</t>
    <rPh sb="0" eb="1">
      <t>ジ</t>
    </rPh>
    <rPh sb="3" eb="5">
      <t>ヨウシキ</t>
    </rPh>
    <rPh sb="5" eb="6">
      <t>ダイ</t>
    </rPh>
    <rPh sb="12" eb="14">
      <t>ホアン</t>
    </rPh>
    <rPh sb="14" eb="16">
      <t>ギョウム</t>
    </rPh>
    <rPh sb="16" eb="19">
      <t>シカクシャ</t>
    </rPh>
    <rPh sb="19" eb="21">
      <t>メイボ</t>
    </rPh>
    <rPh sb="24" eb="26">
      <t>ザイセキ</t>
    </rPh>
    <rPh sb="26" eb="29">
      <t>ショウメイショ</t>
    </rPh>
    <phoneticPr fontId="1"/>
  </si>
  <si>
    <t>保安業務資格者の免状の写し</t>
    <rPh sb="0" eb="2">
      <t>ホアン</t>
    </rPh>
    <rPh sb="2" eb="4">
      <t>ギョウム</t>
    </rPh>
    <rPh sb="4" eb="7">
      <t>シカクシャ</t>
    </rPh>
    <rPh sb="8" eb="10">
      <t>メンジョウ</t>
    </rPh>
    <rPh sb="11" eb="12">
      <t>ウツ</t>
    </rPh>
    <phoneticPr fontId="1"/>
  </si>
  <si>
    <t>保安業務資格者の再講習受講記録の写し</t>
    <rPh sb="0" eb="2">
      <t>ホアン</t>
    </rPh>
    <rPh sb="2" eb="4">
      <t>ギョウム</t>
    </rPh>
    <rPh sb="4" eb="7">
      <t>シカクシャ</t>
    </rPh>
    <rPh sb="8" eb="11">
      <t>サイコウシュウ</t>
    </rPh>
    <rPh sb="11" eb="13">
      <t>ジュコウ</t>
    </rPh>
    <rPh sb="13" eb="15">
      <t>キロク</t>
    </rPh>
    <rPh sb="16" eb="17">
      <t>ウツ</t>
    </rPh>
    <phoneticPr fontId="1"/>
  </si>
  <si>
    <t>滋LP様式第13-11「実務経験を必要とする保安業務資格者の実務経験を証する書面」</t>
    <rPh sb="0" eb="1">
      <t>ジ</t>
    </rPh>
    <rPh sb="3" eb="5">
      <t>ヨウシキ</t>
    </rPh>
    <rPh sb="5" eb="6">
      <t>ダイ</t>
    </rPh>
    <rPh sb="12" eb="14">
      <t>ジツム</t>
    </rPh>
    <rPh sb="14" eb="16">
      <t>ケイケン</t>
    </rPh>
    <rPh sb="17" eb="19">
      <t>ヒツヨウ</t>
    </rPh>
    <rPh sb="22" eb="24">
      <t>ホアン</t>
    </rPh>
    <rPh sb="24" eb="26">
      <t>ギョウム</t>
    </rPh>
    <rPh sb="26" eb="29">
      <t>シカクシャ</t>
    </rPh>
    <rPh sb="30" eb="32">
      <t>ジツム</t>
    </rPh>
    <rPh sb="32" eb="34">
      <t>ケイケン</t>
    </rPh>
    <rPh sb="35" eb="36">
      <t>ショウ</t>
    </rPh>
    <rPh sb="38" eb="40">
      <t>ショメン</t>
    </rPh>
    <phoneticPr fontId="1"/>
  </si>
  <si>
    <t>滋LP様式第13-12「保安業務用機器の専有証明書」</t>
    <rPh sb="0" eb="1">
      <t>ジ</t>
    </rPh>
    <rPh sb="3" eb="5">
      <t>ヨウシキ</t>
    </rPh>
    <rPh sb="5" eb="6">
      <t>ダイ</t>
    </rPh>
    <rPh sb="12" eb="14">
      <t>ホアン</t>
    </rPh>
    <rPh sb="14" eb="17">
      <t>ギョウムヨウ</t>
    </rPh>
    <rPh sb="17" eb="19">
      <t>キキ</t>
    </rPh>
    <rPh sb="20" eb="22">
      <t>センユウ</t>
    </rPh>
    <rPh sb="22" eb="25">
      <t>ショウメイショ</t>
    </rPh>
    <phoneticPr fontId="1"/>
  </si>
  <si>
    <t>自記圧力計の校正記録</t>
    <rPh sb="0" eb="2">
      <t>ジキ</t>
    </rPh>
    <rPh sb="2" eb="5">
      <t>アツリョクケイ</t>
    </rPh>
    <rPh sb="6" eb="8">
      <t>コウセイ</t>
    </rPh>
    <rPh sb="8" eb="10">
      <t>キロク</t>
    </rPh>
    <phoneticPr fontId="1"/>
  </si>
  <si>
    <t>自記圧力計の写真</t>
    <rPh sb="0" eb="2">
      <t>ジキ</t>
    </rPh>
    <rPh sb="2" eb="5">
      <t>アツリョクケイ</t>
    </rPh>
    <rPh sb="6" eb="8">
      <t>シャシン</t>
    </rPh>
    <phoneticPr fontId="1"/>
  </si>
  <si>
    <t>マノメータの写真</t>
    <rPh sb="6" eb="8">
      <t>シャシン</t>
    </rPh>
    <phoneticPr fontId="1"/>
  </si>
  <si>
    <t>ガス検知器の写真</t>
    <rPh sb="2" eb="5">
      <t>ケンチキ</t>
    </rPh>
    <rPh sb="6" eb="8">
      <t>シャシン</t>
    </rPh>
    <phoneticPr fontId="1"/>
  </si>
  <si>
    <t>漏えい検知液の写真</t>
    <rPh sb="0" eb="1">
      <t>ロウ</t>
    </rPh>
    <rPh sb="3" eb="5">
      <t>ケンチ</t>
    </rPh>
    <rPh sb="5" eb="6">
      <t>エキ</t>
    </rPh>
    <rPh sb="7" eb="9">
      <t>シャシン</t>
    </rPh>
    <phoneticPr fontId="1"/>
  </si>
  <si>
    <t>緊急工具類の写真</t>
    <rPh sb="0" eb="2">
      <t>キンキュウ</t>
    </rPh>
    <rPh sb="2" eb="4">
      <t>コウグ</t>
    </rPh>
    <rPh sb="4" eb="5">
      <t>ルイ</t>
    </rPh>
    <rPh sb="6" eb="8">
      <t>シャシン</t>
    </rPh>
    <phoneticPr fontId="1"/>
  </si>
  <si>
    <t>一酸化炭素測定器の写真</t>
    <rPh sb="0" eb="3">
      <t>イッサンカ</t>
    </rPh>
    <rPh sb="3" eb="5">
      <t>タンソ</t>
    </rPh>
    <rPh sb="5" eb="8">
      <t>ソクテイキ</t>
    </rPh>
    <rPh sb="9" eb="11">
      <t>シャシン</t>
    </rPh>
    <phoneticPr fontId="1"/>
  </si>
  <si>
    <t>ボーリングバーの写真</t>
    <rPh sb="8" eb="10">
      <t>シャシン</t>
    </rPh>
    <phoneticPr fontId="1"/>
  </si>
  <si>
    <t>現在の保安機関認定証の写し</t>
    <rPh sb="0" eb="2">
      <t>ゲンザイ</t>
    </rPh>
    <rPh sb="3" eb="5">
      <t>ホアン</t>
    </rPh>
    <rPh sb="5" eb="7">
      <t>キカン</t>
    </rPh>
    <rPh sb="7" eb="9">
      <t>ニンテイ</t>
    </rPh>
    <rPh sb="9" eb="10">
      <t>ショウ</t>
    </rPh>
    <rPh sb="11" eb="12">
      <t>ウツ</t>
    </rPh>
    <phoneticPr fontId="1"/>
  </si>
  <si>
    <t>現在の保安業務規程の写し</t>
    <rPh sb="0" eb="2">
      <t>ゲンザイ</t>
    </rPh>
    <rPh sb="3" eb="5">
      <t>ホアン</t>
    </rPh>
    <rPh sb="5" eb="7">
      <t>ギョウム</t>
    </rPh>
    <rPh sb="7" eb="9">
      <t>キテイ</t>
    </rPh>
    <rPh sb="10" eb="11">
      <t>ウツ</t>
    </rPh>
    <phoneticPr fontId="1"/>
  </si>
  <si>
    <t>滋LP様式第13-2「事業所の位置及び緊急時対応を行おうとする一般消費者等の範囲を示した図面」</t>
    <rPh sb="0" eb="1">
      <t>ジ</t>
    </rPh>
    <rPh sb="3" eb="5">
      <t>ヨウシキ</t>
    </rPh>
    <rPh sb="5" eb="6">
      <t>ダイ</t>
    </rPh>
    <rPh sb="11" eb="14">
      <t>ジギョウショ</t>
    </rPh>
    <rPh sb="15" eb="17">
      <t>イチ</t>
    </rPh>
    <rPh sb="17" eb="18">
      <t>オヨ</t>
    </rPh>
    <rPh sb="19" eb="22">
      <t>キンキュウジ</t>
    </rPh>
    <rPh sb="22" eb="24">
      <t>タイオウ</t>
    </rPh>
    <rPh sb="25" eb="26">
      <t>オコナ</t>
    </rPh>
    <rPh sb="31" eb="33">
      <t>イッパン</t>
    </rPh>
    <rPh sb="33" eb="36">
      <t>ショウヒシャ</t>
    </rPh>
    <rPh sb="36" eb="37">
      <t>トウ</t>
    </rPh>
    <rPh sb="38" eb="40">
      <t>ハンイ</t>
    </rPh>
    <phoneticPr fontId="1"/>
  </si>
  <si>
    <t>滋LP様式第13-4「液化石油ガスによる災害により支払うことのある損害賠償の支払い能力を証する書面」</t>
    <rPh sb="0" eb="1">
      <t>ジ</t>
    </rPh>
    <rPh sb="3" eb="5">
      <t>ヨウシキ</t>
    </rPh>
    <rPh sb="5" eb="6">
      <t>ダイ</t>
    </rPh>
    <rPh sb="11" eb="13">
      <t>エキカ</t>
    </rPh>
    <rPh sb="13" eb="15">
      <t>セキユ</t>
    </rPh>
    <rPh sb="20" eb="22">
      <t>サイガイ</t>
    </rPh>
    <rPh sb="25" eb="27">
      <t>シハラ</t>
    </rPh>
    <rPh sb="33" eb="35">
      <t>ソンガイ</t>
    </rPh>
    <rPh sb="35" eb="37">
      <t>バイショウ</t>
    </rPh>
    <rPh sb="38" eb="40">
      <t>シハラ</t>
    </rPh>
    <phoneticPr fontId="1"/>
  </si>
  <si>
    <t>滋LP様式第13-2に直接記載</t>
    <phoneticPr fontId="1"/>
  </si>
  <si>
    <t>滋LP様式第13-3に直接記載</t>
    <phoneticPr fontId="1"/>
  </si>
  <si>
    <t>滋LP様式第13-11に直接記載</t>
    <phoneticPr fontId="1"/>
  </si>
  <si>
    <t>　　　　　　　　 意思疎通を適正に行うことができない者（規則第30条の２）</t>
    <phoneticPr fontId="1"/>
  </si>
  <si>
    <r>
      <rPr>
        <u/>
        <sz val="10.5"/>
        <color theme="1"/>
        <rFont val="ＭＳ 明朝"/>
        <family val="1"/>
        <charset val="128"/>
      </rPr>
      <t>注意事項</t>
    </r>
    <r>
      <rPr>
        <sz val="10.5"/>
        <color theme="1"/>
        <rFont val="ＭＳ 明朝"/>
        <family val="1"/>
        <charset val="128"/>
      </rPr>
      <t>　○下記の計算はすべて小数点以下第４位を四捨五入した数とする。ただし、0を超え</t>
    </r>
    <rPh sb="0" eb="2">
      <t>チュウイ</t>
    </rPh>
    <rPh sb="2" eb="4">
      <t>ジコウ</t>
    </rPh>
    <rPh sb="6" eb="8">
      <t>カキ</t>
    </rPh>
    <rPh sb="9" eb="11">
      <t>ケイサン</t>
    </rPh>
    <rPh sb="15" eb="18">
      <t>ショウスウテン</t>
    </rPh>
    <rPh sb="18" eb="20">
      <t>イカ</t>
    </rPh>
    <rPh sb="20" eb="21">
      <t>ダイ</t>
    </rPh>
    <rPh sb="22" eb="23">
      <t>イ</t>
    </rPh>
    <rPh sb="24" eb="28">
      <t>シシャゴニュウ</t>
    </rPh>
    <rPh sb="30" eb="31">
      <t>カズ</t>
    </rPh>
    <rPh sb="41" eb="42">
      <t>コ</t>
    </rPh>
    <phoneticPr fontId="1"/>
  </si>
  <si>
    <t>　　　　　　0.001未満の場合は、0.001とする。</t>
    <phoneticPr fontId="1"/>
  </si>
  <si>
    <t>保安業務資格者の数は、保安業務に係る技術的能力の基準等の細目を定める告示第２条による。</t>
    <rPh sb="0" eb="2">
      <t>ホアン</t>
    </rPh>
    <rPh sb="2" eb="4">
      <t>ギョウム</t>
    </rPh>
    <rPh sb="4" eb="7">
      <t>シカクシャ</t>
    </rPh>
    <rPh sb="8" eb="9">
      <t>カズ</t>
    </rPh>
    <rPh sb="11" eb="13">
      <t>ホアン</t>
    </rPh>
    <rPh sb="13" eb="15">
      <t>ギョウム</t>
    </rPh>
    <rPh sb="16" eb="17">
      <t>カカ</t>
    </rPh>
    <rPh sb="18" eb="21">
      <t>ギジュツテキ</t>
    </rPh>
    <rPh sb="21" eb="23">
      <t>ノウリョク</t>
    </rPh>
    <rPh sb="24" eb="26">
      <t>キジュン</t>
    </rPh>
    <rPh sb="26" eb="27">
      <t>トウ</t>
    </rPh>
    <rPh sb="28" eb="30">
      <t>サイモク</t>
    </rPh>
    <rPh sb="31" eb="32">
      <t>サダ</t>
    </rPh>
    <rPh sb="34" eb="36">
      <t>コクジ</t>
    </rPh>
    <rPh sb="36" eb="37">
      <t>ダイ</t>
    </rPh>
    <rPh sb="38" eb="39">
      <t>ジョウ</t>
    </rPh>
    <phoneticPr fontId="1"/>
  </si>
  <si>
    <t>保安業務用機器の数は、同上告示第３条による。</t>
    <rPh sb="4" eb="5">
      <t>ヨウ</t>
    </rPh>
    <rPh sb="5" eb="7">
      <t>キキ</t>
    </rPh>
    <rPh sb="11" eb="12">
      <t>ドウ</t>
    </rPh>
    <rPh sb="12" eb="13">
      <t>ジョウ</t>
    </rPh>
    <phoneticPr fontId="1"/>
  </si>
  <si>
    <t>　※ 定期供給設備点検と定期消費設備調査で消費者数が異なる場合、両方についてする戸数のみ</t>
    <rPh sb="3" eb="5">
      <t>テイキ</t>
    </rPh>
    <rPh sb="5" eb="7">
      <t>キョウキュウ</t>
    </rPh>
    <rPh sb="7" eb="9">
      <t>セツビ</t>
    </rPh>
    <rPh sb="9" eb="11">
      <t>テンケン</t>
    </rPh>
    <rPh sb="12" eb="14">
      <t>テイキ</t>
    </rPh>
    <rPh sb="14" eb="16">
      <t>ショウヒ</t>
    </rPh>
    <rPh sb="16" eb="18">
      <t>セツビ</t>
    </rPh>
    <rPh sb="18" eb="20">
      <t>チョウサ</t>
    </rPh>
    <rPh sb="21" eb="23">
      <t>ショウヒ</t>
    </rPh>
    <phoneticPr fontId="1"/>
  </si>
  <si>
    <t>　 特例を受け、それ以外の戸数については、⑯～⑲式により計算する。</t>
    <rPh sb="24" eb="25">
      <t>シキ</t>
    </rPh>
    <rPh sb="28" eb="30">
      <t>ケイサン</t>
    </rPh>
    <phoneticPr fontId="1"/>
  </si>
  <si>
    <t>【特例による補助員ありでの、定期供給設備点検及び定期消費設備調査】</t>
    <rPh sb="1" eb="3">
      <t>トクレイ</t>
    </rPh>
    <rPh sb="6" eb="9">
      <t>ホジョイン</t>
    </rPh>
    <phoneticPr fontId="1"/>
  </si>
  <si>
    <t>【特例による補助員なしでの、定期供給設備点検及び定期消費設備調査】</t>
    <rPh sb="1" eb="3">
      <t>トクレイ</t>
    </rPh>
    <rPh sb="6" eb="9">
      <t>ホジョイン</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phoneticPr fontId="1"/>
  </si>
  <si>
    <t>p1</t>
    <phoneticPr fontId="1"/>
  </si>
  <si>
    <t>p2</t>
    <phoneticPr fontId="1"/>
  </si>
  <si>
    <t>p3</t>
    <phoneticPr fontId="1"/>
  </si>
  <si>
    <t>p4</t>
    <phoneticPr fontId="1"/>
  </si>
  <si>
    <t>p5</t>
    <phoneticPr fontId="1"/>
  </si>
  <si>
    <t>事業所</t>
    <rPh sb="0" eb="2">
      <t>ジギョウ</t>
    </rPh>
    <rPh sb="2" eb="3">
      <t>ショ</t>
    </rPh>
    <phoneticPr fontId="1"/>
  </si>
  <si>
    <t>緊急時連絡の受信方法の説明</t>
    <rPh sb="0" eb="3">
      <t>キンキュウジ</t>
    </rPh>
    <rPh sb="3" eb="5">
      <t>レンラク</t>
    </rPh>
    <rPh sb="6" eb="8">
      <t>ジュシン</t>
    </rPh>
    <rPh sb="8" eb="10">
      <t>ホウホウ</t>
    </rPh>
    <rPh sb="11" eb="13">
      <t>セツメイ</t>
    </rPh>
    <phoneticPr fontId="1"/>
  </si>
  <si>
    <t>保安業務資格者の在籍数</t>
    <rPh sb="0" eb="2">
      <t>ホアン</t>
    </rPh>
    <rPh sb="2" eb="4">
      <t>ギョウム</t>
    </rPh>
    <rPh sb="4" eb="7">
      <t>シカクシャ</t>
    </rPh>
    <rPh sb="8" eb="10">
      <t>ザイセキ</t>
    </rPh>
    <rPh sb="10" eb="11">
      <t>スウ</t>
    </rPh>
    <phoneticPr fontId="1"/>
  </si>
  <si>
    <t>保安業務を行う事業所の名称</t>
    <rPh sb="0" eb="2">
      <t>ホアン</t>
    </rPh>
    <rPh sb="2" eb="4">
      <t>ギョウム</t>
    </rPh>
    <rPh sb="5" eb="6">
      <t>オコナ</t>
    </rPh>
    <rPh sb="7" eb="9">
      <t>ジギョウ</t>
    </rPh>
    <rPh sb="9" eb="10">
      <t>ショ</t>
    </rPh>
    <rPh sb="11" eb="13">
      <t>メイショウ</t>
    </rPh>
    <phoneticPr fontId="1"/>
  </si>
  <si>
    <t>周知の説明</t>
    <rPh sb="0" eb="2">
      <t>シュウチ</t>
    </rPh>
    <rPh sb="3" eb="5">
      <t>セツメイ</t>
    </rPh>
    <phoneticPr fontId="1"/>
  </si>
  <si>
    <t>上記以外のLPガスに関するその他の業務の内容</t>
    <rPh sb="0" eb="2">
      <t>ジョウキ</t>
    </rPh>
    <rPh sb="2" eb="4">
      <t>イガイ</t>
    </rPh>
    <rPh sb="10" eb="11">
      <t>カン</t>
    </rPh>
    <rPh sb="15" eb="16">
      <t>タ</t>
    </rPh>
    <rPh sb="17" eb="19">
      <t>ギョウム</t>
    </rPh>
    <rPh sb="20" eb="22">
      <t>ナイヨウ</t>
    </rPh>
    <phoneticPr fontId="1"/>
  </si>
  <si>
    <t>保安業務告示とは、「保安業務に係る技術的能力の基準等の細目を定める告示」</t>
    <phoneticPr fontId="1"/>
  </si>
  <si>
    <t>★は、事業所ごとに作成する項目</t>
    <rPh sb="3" eb="6">
      <t>ジギョウショ</t>
    </rPh>
    <rPh sb="9" eb="11">
      <t>サクセイ</t>
    </rPh>
    <rPh sb="13" eb="15">
      <t>コウモク</t>
    </rPh>
    <phoneticPr fontId="1"/>
  </si>
  <si>
    <t>LPガスの一般消費者等への販売事業の有無</t>
    <phoneticPr fontId="1"/>
  </si>
  <si>
    <t>緊急時
対応</t>
    <rPh sb="0" eb="3">
      <t>キンキュウジ</t>
    </rPh>
    <rPh sb="4" eb="6">
      <t>タイオウ</t>
    </rPh>
    <phoneticPr fontId="1"/>
  </si>
  <si>
    <t>緊急時
連絡</t>
    <rPh sb="0" eb="3">
      <t>キンキュウジ</t>
    </rPh>
    <rPh sb="4" eb="6">
      <t>レンラク</t>
    </rPh>
    <phoneticPr fontId="1"/>
  </si>
  <si>
    <t>他の販売事業者から保安業務の委託を受ける申請時の一般消費者等の数</t>
    <rPh sb="0" eb="1">
      <t>タ</t>
    </rPh>
    <rPh sb="2" eb="4">
      <t>ハンバイ</t>
    </rPh>
    <rPh sb="4" eb="6">
      <t>ジギョウ</t>
    </rPh>
    <rPh sb="6" eb="7">
      <t>シャ</t>
    </rPh>
    <rPh sb="9" eb="11">
      <t>ホアン</t>
    </rPh>
    <rPh sb="11" eb="13">
      <t>ギョウム</t>
    </rPh>
    <rPh sb="14" eb="16">
      <t>イタク</t>
    </rPh>
    <rPh sb="17" eb="18">
      <t>ウ</t>
    </rPh>
    <rPh sb="20" eb="22">
      <t>シンセイ</t>
    </rPh>
    <rPh sb="22" eb="23">
      <t>ジ</t>
    </rPh>
    <rPh sb="24" eb="26">
      <t>イッパン</t>
    </rPh>
    <rPh sb="26" eb="29">
      <t>ショウヒシャ</t>
    </rPh>
    <rPh sb="29" eb="30">
      <t>トウ</t>
    </rPh>
    <rPh sb="31" eb="32">
      <t>カズ</t>
    </rPh>
    <phoneticPr fontId="1"/>
  </si>
  <si>
    <t>LPガスを販売している一般消費者等の数</t>
    <rPh sb="5" eb="7">
      <t>ハンバイ</t>
    </rPh>
    <rPh sb="11" eb="13">
      <t>イッパン</t>
    </rPh>
    <rPh sb="13" eb="16">
      <t>ショウヒシャ</t>
    </rPh>
    <rPh sb="16" eb="17">
      <t>トウ</t>
    </rPh>
    <rPh sb="18" eb="19">
      <t>カズ</t>
    </rPh>
    <phoneticPr fontId="1"/>
  </si>
  <si>
    <t>　　 ※2(2)が「あり」の場合、保安業務の受託状況を「滋LP様式第13-1別紙」に記載する。</t>
    <rPh sb="14" eb="16">
      <t>バアイ</t>
    </rPh>
    <rPh sb="17" eb="19">
      <t>ホアン</t>
    </rPh>
    <rPh sb="19" eb="21">
      <t>ギョウム</t>
    </rPh>
    <rPh sb="22" eb="24">
      <t>ジュタク</t>
    </rPh>
    <rPh sb="24" eb="26">
      <t>ジョウキョウ</t>
    </rPh>
    <rPh sb="28" eb="29">
      <t>ジ</t>
    </rPh>
    <rPh sb="31" eb="33">
      <t>ヨウシキ</t>
    </rPh>
    <rPh sb="33" eb="34">
      <t>ダイ</t>
    </rPh>
    <rPh sb="38" eb="40">
      <t>ベッシ</t>
    </rPh>
    <rPh sb="42" eb="44">
      <t>キサイ</t>
    </rPh>
    <phoneticPr fontId="1"/>
  </si>
  <si>
    <t>　　　※事業所が複数ある場合、事業所ごとの液化石油ガスを販売している一般消費者等の数を</t>
    <rPh sb="4" eb="7">
      <t>ジギョウショ</t>
    </rPh>
    <rPh sb="8" eb="10">
      <t>フクスウ</t>
    </rPh>
    <rPh sb="12" eb="14">
      <t>バアイ</t>
    </rPh>
    <rPh sb="15" eb="18">
      <t>ジギョウショ</t>
    </rPh>
    <rPh sb="21" eb="23">
      <t>エキカ</t>
    </rPh>
    <rPh sb="23" eb="25">
      <t>セキユ</t>
    </rPh>
    <rPh sb="28" eb="30">
      <t>ハンバイ</t>
    </rPh>
    <rPh sb="34" eb="36">
      <t>イッパン</t>
    </rPh>
    <rPh sb="36" eb="39">
      <t>ショウヒシャ</t>
    </rPh>
    <rPh sb="39" eb="40">
      <t>トウ</t>
    </rPh>
    <rPh sb="41" eb="42">
      <t>カズ</t>
    </rPh>
    <phoneticPr fontId="1"/>
  </si>
  <si>
    <t>　　　　「滋LP様式第13-1別紙」に記載する。</t>
    <phoneticPr fontId="1"/>
  </si>
  <si>
    <t>滋LP様式第 13-1 別紙</t>
    <phoneticPr fontId="1"/>
  </si>
  <si>
    <t>事業者として申請時に実際にLPガスを販売している一般消費者等の数</t>
    <rPh sb="0" eb="3">
      <t>ジギョウシャ</t>
    </rPh>
    <rPh sb="6" eb="8">
      <t>シンセイ</t>
    </rPh>
    <rPh sb="8" eb="9">
      <t>ジ</t>
    </rPh>
    <rPh sb="10" eb="12">
      <t>ジッサイ</t>
    </rPh>
    <rPh sb="18" eb="20">
      <t>ハンバイ</t>
    </rPh>
    <rPh sb="24" eb="26">
      <t>イッパン</t>
    </rPh>
    <rPh sb="26" eb="29">
      <t>ショウヒシャ</t>
    </rPh>
    <rPh sb="29" eb="30">
      <t>トウ</t>
    </rPh>
    <rPh sb="31" eb="32">
      <t>カズ</t>
    </rPh>
    <phoneticPr fontId="1"/>
  </si>
  <si>
    <t>20**/**/**形式で入力</t>
    <rPh sb="10" eb="12">
      <t>ケイシキ</t>
    </rPh>
    <rPh sb="13" eb="15">
      <t>ニュウリョク</t>
    </rPh>
    <phoneticPr fontId="1"/>
  </si>
  <si>
    <t>滋LP様式第13-1別紙に直接記載</t>
    <phoneticPr fontId="1"/>
  </si>
  <si>
    <t>シート「滋様13-1別」へ移動</t>
    <phoneticPr fontId="1"/>
  </si>
  <si>
    <t>LPガスを販売している一般消費者等の数の事業所ごとの内訳</t>
    <rPh sb="5" eb="7">
      <t>ハンバイ</t>
    </rPh>
    <rPh sb="11" eb="13">
      <t>イッパン</t>
    </rPh>
    <rPh sb="13" eb="16">
      <t>ショウヒシャ</t>
    </rPh>
    <rPh sb="16" eb="17">
      <t>トウ</t>
    </rPh>
    <rPh sb="18" eb="19">
      <t>カズ</t>
    </rPh>
    <rPh sb="20" eb="23">
      <t>ジギョウショ</t>
    </rPh>
    <rPh sb="26" eb="28">
      <t>ウチワケ</t>
    </rPh>
    <phoneticPr fontId="1"/>
  </si>
  <si>
    <t>収入証紙の貼り付け</t>
    <rPh sb="0" eb="2">
      <t>シュウニュウ</t>
    </rPh>
    <rPh sb="2" eb="4">
      <t>ショウシ</t>
    </rPh>
    <rPh sb="5" eb="6">
      <t>ハ</t>
    </rPh>
    <rPh sb="7" eb="8">
      <t>ツ</t>
    </rPh>
    <phoneticPr fontId="1"/>
  </si>
  <si>
    <t>同時に周知を実施</t>
    <rPh sb="0" eb="2">
      <t>ドウジ</t>
    </rPh>
    <rPh sb="3" eb="5">
      <t>シュウチ</t>
    </rPh>
    <rPh sb="6" eb="8">
      <t>ジッシ</t>
    </rPh>
    <phoneticPr fontId="1"/>
  </si>
  <si>
    <t>　・緊急時の連絡の受信方法：</t>
    <phoneticPr fontId="1"/>
  </si>
  <si>
    <t>緊急時連絡の受信方法：
(電話の場合は電話番号)</t>
    <phoneticPr fontId="1"/>
  </si>
  <si>
    <t>　※事業所に対し琵琶湖の対岸を含める場合、対岸へ行く経路を考慮して範囲を図示する。</t>
    <rPh sb="2" eb="5">
      <t>ジギョウショ</t>
    </rPh>
    <rPh sb="6" eb="7">
      <t>タイ</t>
    </rPh>
    <rPh sb="8" eb="11">
      <t>ビワコ</t>
    </rPh>
    <rPh sb="12" eb="14">
      <t>タイガン</t>
    </rPh>
    <rPh sb="15" eb="16">
      <t>フク</t>
    </rPh>
    <rPh sb="18" eb="20">
      <t>バアイ</t>
    </rPh>
    <rPh sb="21" eb="23">
      <t>タイガン</t>
    </rPh>
    <rPh sb="24" eb="25">
      <t>イ</t>
    </rPh>
    <rPh sb="26" eb="28">
      <t>ケイロ</t>
    </rPh>
    <rPh sb="29" eb="31">
      <t>コウリョ</t>
    </rPh>
    <rPh sb="33" eb="35">
      <t>ハンイ</t>
    </rPh>
    <rPh sb="36" eb="38">
      <t>ズシ</t>
    </rPh>
    <phoneticPr fontId="1"/>
  </si>
  <si>
    <t>名称</t>
    <rPh sb="0" eb="2">
      <t>メイショウ</t>
    </rPh>
    <phoneticPr fontId="1"/>
  </si>
  <si>
    <t>所在地</t>
    <rPh sb="0" eb="3">
      <t>ショザイチ</t>
    </rPh>
    <phoneticPr fontId="1"/>
  </si>
  <si>
    <t>2. 認定を受けようとする保安業務区分</t>
  </si>
  <si>
    <t>1. 保安業務に係る事業所の名称及び所在地</t>
    <rPh sb="3" eb="5">
      <t>ホアン</t>
    </rPh>
    <rPh sb="5" eb="7">
      <t>ギョウム</t>
    </rPh>
    <rPh sb="8" eb="9">
      <t>カカ</t>
    </rPh>
    <rPh sb="10" eb="13">
      <t>ジギョウショ</t>
    </rPh>
    <rPh sb="14" eb="16">
      <t>メイショウ</t>
    </rPh>
    <rPh sb="16" eb="17">
      <t>オヨ</t>
    </rPh>
    <rPh sb="18" eb="21">
      <t>ショザイチ</t>
    </rPh>
    <phoneticPr fontId="1"/>
  </si>
  <si>
    <t>周知</t>
  </si>
  <si>
    <t>緊急時対応</t>
  </si>
  <si>
    <t>緊急時連絡</t>
  </si>
  <si>
    <t>3. 保安業務区分ごとの一般消費者等の数</t>
    <rPh sb="3" eb="5">
      <t>ホアン</t>
    </rPh>
    <rPh sb="5" eb="7">
      <t>ギョウム</t>
    </rPh>
    <rPh sb="7" eb="9">
      <t>クブン</t>
    </rPh>
    <rPh sb="12" eb="14">
      <t>イッパン</t>
    </rPh>
    <rPh sb="14" eb="17">
      <t>ショウヒシャ</t>
    </rPh>
    <rPh sb="17" eb="18">
      <t>トウ</t>
    </rPh>
    <rPh sb="19" eb="20">
      <t>カズ</t>
    </rPh>
    <phoneticPr fontId="1"/>
  </si>
  <si>
    <t>供給開始時</t>
  </si>
  <si>
    <t>供給開始時</t>
    <rPh sb="0" eb="2">
      <t>キョウキュウ</t>
    </rPh>
    <rPh sb="2" eb="4">
      <t>カイシ</t>
    </rPh>
    <rPh sb="4" eb="5">
      <t>ジ</t>
    </rPh>
    <phoneticPr fontId="1"/>
  </si>
  <si>
    <t>点検・調査</t>
  </si>
  <si>
    <t>点検・調査</t>
    <rPh sb="0" eb="2">
      <t>テンケン</t>
    </rPh>
    <rPh sb="3" eb="5">
      <t>チョウサ</t>
    </rPh>
    <phoneticPr fontId="1"/>
  </si>
  <si>
    <t>容器交換時等</t>
  </si>
  <si>
    <t>容器交換時等</t>
    <rPh sb="0" eb="2">
      <t>ヨウキ</t>
    </rPh>
    <rPh sb="2" eb="4">
      <t>コウカン</t>
    </rPh>
    <rPh sb="4" eb="5">
      <t>ジ</t>
    </rPh>
    <rPh sb="5" eb="6">
      <t>トウ</t>
    </rPh>
    <phoneticPr fontId="1"/>
  </si>
  <si>
    <t>供給設備点検</t>
  </si>
  <si>
    <t>供給設備点検</t>
    <phoneticPr fontId="1"/>
  </si>
  <si>
    <t>点検</t>
  </si>
  <si>
    <t>点検</t>
    <rPh sb="0" eb="2">
      <t>テンケン</t>
    </rPh>
    <phoneticPr fontId="1"/>
  </si>
  <si>
    <t>定期供給設備</t>
  </si>
  <si>
    <t>定期供給設備</t>
    <rPh sb="0" eb="2">
      <t>テイキ</t>
    </rPh>
    <rPh sb="2" eb="4">
      <t>キョウキュウ</t>
    </rPh>
    <rPh sb="4" eb="6">
      <t>セツビ</t>
    </rPh>
    <phoneticPr fontId="1"/>
  </si>
  <si>
    <t>調査</t>
  </si>
  <si>
    <t>調査</t>
    <rPh sb="0" eb="2">
      <t>チョウサ</t>
    </rPh>
    <phoneticPr fontId="1"/>
  </si>
  <si>
    <t>定期消費設備</t>
  </si>
  <si>
    <t>定期消費設備</t>
    <rPh sb="0" eb="2">
      <t>テイキ</t>
    </rPh>
    <rPh sb="2" eb="4">
      <t>ショウヒ</t>
    </rPh>
    <rPh sb="4" eb="6">
      <t>セツビ</t>
    </rPh>
    <phoneticPr fontId="1"/>
  </si>
  <si>
    <t>(注)1. 上記表中の2. 認定を受けようとする保安業務区分欄、3．保安業務区分ごとの一般消費者等の数欄の｢－｣記号は認定を受けないことを示す。</t>
    <rPh sb="1" eb="2">
      <t>チュウ</t>
    </rPh>
    <rPh sb="6" eb="8">
      <t>ジョウキ</t>
    </rPh>
    <phoneticPr fontId="1"/>
  </si>
  <si>
    <t>　　2. 供給開始時点検・調査業務は、容器交換時等供給設備点検、定期供給設備点検、定期消費設備調査の3区分の認定を受けていれば、そのうち最小の消費者数ま</t>
    <phoneticPr fontId="1"/>
  </si>
  <si>
    <t>　　 では、供給開始時点検・調査の認定を受けることなくその業務を行うことができる。（規則関係通達第29条(保安業務区分)関係による。次の3も同じ）</t>
    <phoneticPr fontId="1"/>
  </si>
  <si>
    <t>　　 項の認定を受けることなく「緊急時連絡」の業務を行うことができる。</t>
    <phoneticPr fontId="1"/>
  </si>
  <si>
    <t>様式第14別紙</t>
    <rPh sb="0" eb="2">
      <t>ヨウシキ</t>
    </rPh>
    <rPh sb="2" eb="3">
      <t>ダイ</t>
    </rPh>
    <rPh sb="5" eb="7">
      <t>ベッシ</t>
    </rPh>
    <phoneticPr fontId="1"/>
  </si>
  <si>
    <t>シート「証紙貼付」へ移動</t>
    <rPh sb="4" eb="6">
      <t>ショウシ</t>
    </rPh>
    <rPh sb="6" eb="7">
      <t>ハ</t>
    </rPh>
    <rPh sb="7" eb="8">
      <t>ツ</t>
    </rPh>
    <rPh sb="10" eb="12">
      <t>イドウ</t>
    </rPh>
    <phoneticPr fontId="1"/>
  </si>
  <si>
    <t>●保安機関認定更新作成支援ツールの入力フォーム　※事業所が複数ある場合は、事業所ごとに作成する。★は、事業所ごとに記載する項目</t>
    <rPh sb="25" eb="28">
      <t>ジギョウショ</t>
    </rPh>
    <rPh sb="29" eb="31">
      <t>フクスウ</t>
    </rPh>
    <rPh sb="33" eb="35">
      <t>バアイ</t>
    </rPh>
    <rPh sb="37" eb="40">
      <t>ジギョウショ</t>
    </rPh>
    <rPh sb="43" eb="45">
      <t>サクセイ</t>
    </rPh>
    <rPh sb="57" eb="59">
      <t>キサイ</t>
    </rPh>
    <phoneticPr fontId="1"/>
  </si>
  <si>
    <t>様式14別紙に直接記載</t>
    <rPh sb="0" eb="2">
      <t>ヨウシキ</t>
    </rPh>
    <rPh sb="4" eb="6">
      <t>ベッシ</t>
    </rPh>
    <rPh sb="7" eb="9">
      <t>チョクセツ</t>
    </rPh>
    <rPh sb="9" eb="11">
      <t>キサイ</t>
    </rPh>
    <phoneticPr fontId="1"/>
  </si>
  <si>
    <t>シート「様式14別紙」へ移動</t>
    <rPh sb="4" eb="6">
      <t>ヨウシキ</t>
    </rPh>
    <rPh sb="8" eb="10">
      <t>ベッシ</t>
    </rPh>
    <rPh sb="12" eb="14">
      <t>イドウ</t>
    </rPh>
    <phoneticPr fontId="1"/>
  </si>
  <si>
    <t>　　 様式第14別紙のとおり</t>
    <rPh sb="3" eb="5">
      <t>ヨウシキ</t>
    </rPh>
    <rPh sb="5" eb="6">
      <t>ダイ</t>
    </rPh>
    <rPh sb="8" eb="10">
      <t>ベッシ</t>
    </rPh>
    <phoneticPr fontId="1"/>
  </si>
  <si>
    <t>様式14別紙</t>
    <rPh sb="0" eb="2">
      <t>ヨウシキ</t>
    </rPh>
    <rPh sb="4" eb="6">
      <t>ベッシ</t>
    </rPh>
    <phoneticPr fontId="1"/>
  </si>
  <si>
    <t>規程する実務経験を有することを証明します。</t>
    <rPh sb="0" eb="2">
      <t>キテイ</t>
    </rPh>
    <phoneticPr fontId="1"/>
  </si>
  <si>
    <t>　下記の者は、液化石油ガスの保安の確保及び取引の適正化に関する法律施行規則第36条第2項に</t>
    <rPh sb="43" eb="44">
      <t>コウ</t>
    </rPh>
    <phoneticPr fontId="1"/>
  </si>
  <si>
    <t>他のLPガス販売事業者から保安業務の委託を受ける一般消費者等の数</t>
    <rPh sb="0" eb="1">
      <t>タ</t>
    </rPh>
    <rPh sb="6" eb="8">
      <t>ハンバイ</t>
    </rPh>
    <rPh sb="8" eb="10">
      <t>ジギョウ</t>
    </rPh>
    <rPh sb="10" eb="11">
      <t>シャ</t>
    </rPh>
    <rPh sb="13" eb="15">
      <t>ホアン</t>
    </rPh>
    <rPh sb="15" eb="17">
      <t>ギョウム</t>
    </rPh>
    <rPh sb="18" eb="20">
      <t>イタク</t>
    </rPh>
    <rPh sb="21" eb="22">
      <t>ウ</t>
    </rPh>
    <rPh sb="24" eb="26">
      <t>イッパン</t>
    </rPh>
    <rPh sb="26" eb="29">
      <t>ショウヒシャ</t>
    </rPh>
    <rPh sb="29" eb="30">
      <t>トウ</t>
    </rPh>
    <rPh sb="31" eb="32">
      <t>カズ</t>
    </rPh>
    <phoneticPr fontId="1"/>
  </si>
  <si>
    <t>保安業務資格者</t>
    <rPh sb="4" eb="7">
      <t>シカクシャ</t>
    </rPh>
    <phoneticPr fontId="1"/>
  </si>
  <si>
    <t>様式13-10の製造保安責任者(乙化・丙化等)の数</t>
  </si>
  <si>
    <t>様式13-10の業務主任者の代理者講習修了者の数</t>
  </si>
  <si>
    <t>様式13-10の保安業務員講習修了者の数</t>
  </si>
  <si>
    <t>様式13-10の液化石油ガス設備士の数</t>
  </si>
  <si>
    <t>様式13-10の第二種販売主任者の数</t>
  </si>
  <si>
    <t>様式13-10の調査員講習修了者の数</t>
    <rPh sb="8" eb="10">
      <t>チョウサ</t>
    </rPh>
    <rPh sb="10" eb="11">
      <t>イン</t>
    </rPh>
    <phoneticPr fontId="1"/>
  </si>
  <si>
    <t>　　3. 「緊急時対応」を行うことにつき法第29条第1項の認定を受けた保安機関の事業所が行う「緊急時対応」に係る一般消費者等の数が、その保安機関が法第29条</t>
    <rPh sb="77" eb="78">
      <t>ジョウ</t>
    </rPh>
    <phoneticPr fontId="1"/>
  </si>
  <si>
    <t>　　 第3項の規定により申請した一般消費者等の数より少ない場合、当該事業所は、同項の規定により申請した一般消費者等の数までは、新たに法第29条第1</t>
    <phoneticPr fontId="1"/>
  </si>
  <si>
    <t>認定を受けようとする保安業務区分</t>
    <rPh sb="0" eb="2">
      <t>ニンテイ</t>
    </rPh>
    <rPh sb="3" eb="4">
      <t>ウ</t>
    </rPh>
    <rPh sb="10" eb="12">
      <t>ホアン</t>
    </rPh>
    <rPh sb="12" eb="14">
      <t>ギョウム</t>
    </rPh>
    <rPh sb="14" eb="16">
      <t>クブン</t>
    </rPh>
    <phoneticPr fontId="1"/>
  </si>
  <si>
    <t>4. 保安業務用機器の必要数</t>
    <rPh sb="3" eb="5">
      <t>ホアン</t>
    </rPh>
    <rPh sb="5" eb="8">
      <t>ギョウムヨウ</t>
    </rPh>
    <rPh sb="8" eb="10">
      <t>キキ</t>
    </rPh>
    <rPh sb="11" eb="14">
      <t>ヒツヨウスウ</t>
    </rPh>
    <phoneticPr fontId="1"/>
  </si>
  <si>
    <t>3-4 保安業務資格者の必要数</t>
    <rPh sb="4" eb="6">
      <t>ホアン</t>
    </rPh>
    <rPh sb="6" eb="8">
      <t>ギョウム</t>
    </rPh>
    <rPh sb="8" eb="11">
      <t>シカクシャ</t>
    </rPh>
    <rPh sb="12" eb="15">
      <t>ヒツヨウスウ</t>
    </rPh>
    <phoneticPr fontId="1"/>
  </si>
  <si>
    <t>ガス検知器の必要数</t>
    <rPh sb="2" eb="5">
      <t>ケンチキ</t>
    </rPh>
    <rPh sb="6" eb="9">
      <t>ヒツヨウスウ</t>
    </rPh>
    <phoneticPr fontId="1"/>
  </si>
  <si>
    <t>漏えい検知液の必要数</t>
    <rPh sb="0" eb="1">
      <t>ロウ</t>
    </rPh>
    <rPh sb="3" eb="5">
      <t>ケンチ</t>
    </rPh>
    <rPh sb="5" eb="6">
      <t>エキ</t>
    </rPh>
    <rPh sb="7" eb="10">
      <t>ヒツヨウスウ</t>
    </rPh>
    <phoneticPr fontId="1"/>
  </si>
  <si>
    <t>緊急工具の必要数</t>
    <rPh sb="0" eb="2">
      <t>キンキュウ</t>
    </rPh>
    <rPh sb="2" eb="4">
      <t>コウグ</t>
    </rPh>
    <rPh sb="5" eb="8">
      <t>ヒツヨウスウ</t>
    </rPh>
    <phoneticPr fontId="1"/>
  </si>
  <si>
    <t>一酸化炭素測定器の必要数</t>
    <rPh sb="0" eb="3">
      <t>イッサンカ</t>
    </rPh>
    <rPh sb="3" eb="5">
      <t>タンソ</t>
    </rPh>
    <rPh sb="5" eb="8">
      <t>ソクテイキ</t>
    </rPh>
    <rPh sb="9" eb="11">
      <t>ヒツヨウ</t>
    </rPh>
    <rPh sb="11" eb="12">
      <t>スウ</t>
    </rPh>
    <phoneticPr fontId="1"/>
  </si>
  <si>
    <t>ボーリングバーの必要数</t>
    <rPh sb="8" eb="11">
      <t>ヒツヨウスウ</t>
    </rPh>
    <phoneticPr fontId="1"/>
  </si>
  <si>
    <t>ガス検知器の保有数</t>
  </si>
  <si>
    <t>漏えい検知液の保有数</t>
  </si>
  <si>
    <t>緊急工具の保有数</t>
  </si>
  <si>
    <t>一酸化炭素測定器の保有数</t>
  </si>
  <si>
    <t>ボーリングバーの保有数</t>
  </si>
  <si>
    <t>自記圧力計の保有数</t>
    <phoneticPr fontId="1"/>
  </si>
  <si>
    <t>自記圧力計又はマノメータの必要数</t>
    <rPh sb="0" eb="2">
      <t>ジキ</t>
    </rPh>
    <rPh sb="2" eb="5">
      <t>アツリョクケイ</t>
    </rPh>
    <rPh sb="5" eb="6">
      <t>マタ</t>
    </rPh>
    <rPh sb="13" eb="16">
      <t>ヒツヨウスウ</t>
    </rPh>
    <phoneticPr fontId="1"/>
  </si>
  <si>
    <t>マノメータの保有数</t>
    <phoneticPr fontId="1"/>
  </si>
  <si>
    <t>3. 保安業務の体制</t>
    <rPh sb="3" eb="5">
      <t>ホアン</t>
    </rPh>
    <rPh sb="5" eb="7">
      <t>ギョウム</t>
    </rPh>
    <rPh sb="8" eb="10">
      <t>タイセイ</t>
    </rPh>
    <phoneticPr fontId="1"/>
  </si>
  <si>
    <t>LPガス販売事業の説明</t>
    <rPh sb="4" eb="6">
      <t>ハンバイ</t>
    </rPh>
    <rPh sb="6" eb="8">
      <t>ジギョウ</t>
    </rPh>
    <rPh sb="9" eb="11">
      <t>セツメイ</t>
    </rPh>
    <phoneticPr fontId="1"/>
  </si>
  <si>
    <t>保安業務の受託状況の説明</t>
    <rPh sb="0" eb="2">
      <t>ホアン</t>
    </rPh>
    <rPh sb="2" eb="4">
      <t>ギョウム</t>
    </rPh>
    <rPh sb="5" eb="7">
      <t>ジュタク</t>
    </rPh>
    <rPh sb="7" eb="9">
      <t>ジョウキョウ</t>
    </rPh>
    <rPh sb="10" eb="12">
      <t>セツメイ</t>
    </rPh>
    <phoneticPr fontId="1"/>
  </si>
  <si>
    <t>保安業務以外の業務の説明</t>
    <rPh sb="0" eb="2">
      <t>ホアン</t>
    </rPh>
    <rPh sb="2" eb="4">
      <t>ギョウム</t>
    </rPh>
    <rPh sb="4" eb="6">
      <t>イガイ</t>
    </rPh>
    <rPh sb="7" eb="9">
      <t>ギョウム</t>
    </rPh>
    <rPh sb="10" eb="12">
      <t>セツメイ</t>
    </rPh>
    <phoneticPr fontId="1"/>
  </si>
  <si>
    <t>保安業務以外の業務を行う場合の、保安業務を行う体制</t>
    <rPh sb="0" eb="2">
      <t>ホアン</t>
    </rPh>
    <rPh sb="2" eb="4">
      <t>ギョウム</t>
    </rPh>
    <rPh sb="4" eb="6">
      <t>イガイ</t>
    </rPh>
    <rPh sb="7" eb="9">
      <t>ギョウム</t>
    </rPh>
    <rPh sb="10" eb="11">
      <t>オコナ</t>
    </rPh>
    <rPh sb="12" eb="14">
      <t>バアイ</t>
    </rPh>
    <rPh sb="16" eb="18">
      <t>ホアン</t>
    </rPh>
    <rPh sb="18" eb="20">
      <t>ギョウム</t>
    </rPh>
    <rPh sb="21" eb="22">
      <t>オコナ</t>
    </rPh>
    <rPh sb="23" eb="25">
      <t>タイセイ</t>
    </rPh>
    <phoneticPr fontId="1"/>
  </si>
  <si>
    <t>(備考)　１　非常勤の役員を含み監査を行う役員を除く｡(非常勤役員の場合は履歴欄にその旨を記載</t>
    <rPh sb="16" eb="18">
      <t>カンサ</t>
    </rPh>
    <rPh sb="19" eb="20">
      <t>オコナ</t>
    </rPh>
    <rPh sb="21" eb="23">
      <t>ヤクイン</t>
    </rPh>
    <rPh sb="24" eb="25">
      <t>ノゾ</t>
    </rPh>
    <phoneticPr fontId="1"/>
  </si>
  <si>
    <t>　　　　　する。)</t>
    <phoneticPr fontId="1"/>
  </si>
  <si>
    <t>適確な体制の詳細は、通達（法律関係）第31条（認定の基準）関係２による</t>
    <rPh sb="0" eb="2">
      <t>テキカク</t>
    </rPh>
    <rPh sb="3" eb="5">
      <t>タイセイ</t>
    </rPh>
    <phoneticPr fontId="1"/>
  </si>
  <si>
    <t>保安業務告示第2条第1号表ニに規定する補助員(保安業務資格者以外の者であって、定期消費設備調査に従事する者)</t>
    <rPh sb="41" eb="43">
      <t>ショウヒ</t>
    </rPh>
    <rPh sb="45" eb="47">
      <t>チョウサ</t>
    </rPh>
    <phoneticPr fontId="1"/>
  </si>
  <si>
    <t>保安業務告示第2条第1号表ハに規定する補助員(保安業務資格者以外の者であって、定期供給設備点検に従事する者)</t>
    <rPh sb="23" eb="25">
      <t>ホアン</t>
    </rPh>
    <rPh sb="25" eb="27">
      <t>ギョウム</t>
    </rPh>
    <rPh sb="27" eb="30">
      <t>シカクシャ</t>
    </rPh>
    <rPh sb="30" eb="32">
      <t>イガイ</t>
    </rPh>
    <rPh sb="33" eb="34">
      <t>モノ</t>
    </rPh>
    <rPh sb="39" eb="41">
      <t>テイキ</t>
    </rPh>
    <rPh sb="41" eb="43">
      <t>キョウキュウ</t>
    </rPh>
    <rPh sb="43" eb="45">
      <t>セツビ</t>
    </rPh>
    <rPh sb="45" eb="47">
      <t>テンケン</t>
    </rPh>
    <rPh sb="48" eb="50">
      <t>ジュウジ</t>
    </rPh>
    <rPh sb="52" eb="53">
      <t>モノ</t>
    </rPh>
    <phoneticPr fontId="1"/>
  </si>
  <si>
    <t>規則関係通達第29号とは、緊急時対応の認定を受けた一般消費者等の数が、法第29条第3項の規定により申請した一般消費者等の数より少ない場合、認定を受けることなく緊急時連絡の業務を行うことができる(詳細は通達(規則関係)第29条(保安業務区分)関係3による)</t>
    <rPh sb="0" eb="2">
      <t>キソク</t>
    </rPh>
    <rPh sb="2" eb="4">
      <t>カンケイ</t>
    </rPh>
    <rPh sb="4" eb="6">
      <t>ツウタツ</t>
    </rPh>
    <rPh sb="6" eb="7">
      <t>ダイ</t>
    </rPh>
    <rPh sb="9" eb="10">
      <t>ゴウ</t>
    </rPh>
    <rPh sb="13" eb="16">
      <t>キンキュウジ</t>
    </rPh>
    <rPh sb="16" eb="18">
      <t>タイオウ</t>
    </rPh>
    <rPh sb="19" eb="21">
      <t>ニンテイ</t>
    </rPh>
    <rPh sb="22" eb="23">
      <t>ウ</t>
    </rPh>
    <rPh sb="25" eb="27">
      <t>イッパン</t>
    </rPh>
    <rPh sb="27" eb="30">
      <t>ショウヒシャ</t>
    </rPh>
    <rPh sb="30" eb="31">
      <t>トウ</t>
    </rPh>
    <rPh sb="32" eb="33">
      <t>カズ</t>
    </rPh>
    <rPh sb="35" eb="36">
      <t>ホウ</t>
    </rPh>
    <rPh sb="36" eb="37">
      <t>ダイ</t>
    </rPh>
    <rPh sb="39" eb="40">
      <t>ジョウ</t>
    </rPh>
    <rPh sb="40" eb="41">
      <t>ダイ</t>
    </rPh>
    <rPh sb="42" eb="43">
      <t>コウ</t>
    </rPh>
    <rPh sb="44" eb="46">
      <t>キテイ</t>
    </rPh>
    <rPh sb="49" eb="51">
      <t>シンセイ</t>
    </rPh>
    <rPh sb="53" eb="55">
      <t>イッパン</t>
    </rPh>
    <rPh sb="55" eb="58">
      <t>ショウヒシャ</t>
    </rPh>
    <rPh sb="58" eb="59">
      <t>トウ</t>
    </rPh>
    <rPh sb="60" eb="61">
      <t>カズ</t>
    </rPh>
    <rPh sb="63" eb="64">
      <t>スク</t>
    </rPh>
    <rPh sb="66" eb="68">
      <t>バアイ</t>
    </rPh>
    <rPh sb="69" eb="71">
      <t>ニンテイ</t>
    </rPh>
    <rPh sb="72" eb="73">
      <t>ウ</t>
    </rPh>
    <rPh sb="79" eb="82">
      <t>キンキュウジ</t>
    </rPh>
    <rPh sb="82" eb="84">
      <t>レンラク</t>
    </rPh>
    <rPh sb="85" eb="87">
      <t>ギョウム</t>
    </rPh>
    <rPh sb="88" eb="89">
      <t>オコナ</t>
    </rPh>
    <rPh sb="97" eb="99">
      <t>ショウサイ</t>
    </rPh>
    <rPh sb="100" eb="102">
      <t>ツウタツ</t>
    </rPh>
    <rPh sb="103" eb="105">
      <t>キソク</t>
    </rPh>
    <rPh sb="105" eb="107">
      <t>カンケイ</t>
    </rPh>
    <rPh sb="108" eb="109">
      <t>ダイ</t>
    </rPh>
    <rPh sb="111" eb="112">
      <t>ジョウ</t>
    </rPh>
    <rPh sb="113" eb="115">
      <t>ホアン</t>
    </rPh>
    <rPh sb="115" eb="117">
      <t>ギョウム</t>
    </rPh>
    <rPh sb="117" eb="119">
      <t>クブン</t>
    </rPh>
    <rPh sb="120" eb="122">
      <t>カンケイ</t>
    </rPh>
    <phoneticPr fontId="1"/>
  </si>
  <si>
    <t>規則関係通達第29号とは、容器交換時等供給設備点検・定期供給設備点検・定期消費設備調査の認定を受ければ、そのうち最小の消費者数までは、供給開始時点検・調査の認定を受けることなくその業務を行うことができる（詳細は通達(規則関係)第29条(保安業務区分)関係1による)</t>
    <rPh sb="0" eb="2">
      <t>キソク</t>
    </rPh>
    <rPh sb="2" eb="4">
      <t>カンケイ</t>
    </rPh>
    <rPh sb="4" eb="6">
      <t>ツウタツ</t>
    </rPh>
    <rPh sb="6" eb="7">
      <t>ダイ</t>
    </rPh>
    <rPh sb="9" eb="10">
      <t>ゴウ</t>
    </rPh>
    <rPh sb="13" eb="15">
      <t>ヨウキ</t>
    </rPh>
    <rPh sb="15" eb="17">
      <t>コウカン</t>
    </rPh>
    <rPh sb="17" eb="18">
      <t>ジ</t>
    </rPh>
    <rPh sb="18" eb="19">
      <t>トウ</t>
    </rPh>
    <rPh sb="19" eb="21">
      <t>キョウキュウ</t>
    </rPh>
    <rPh sb="21" eb="23">
      <t>セツビ</t>
    </rPh>
    <rPh sb="23" eb="25">
      <t>テンケン</t>
    </rPh>
    <rPh sb="26" eb="28">
      <t>テイキ</t>
    </rPh>
    <rPh sb="28" eb="30">
      <t>キョウキュウ</t>
    </rPh>
    <rPh sb="30" eb="32">
      <t>セツビ</t>
    </rPh>
    <rPh sb="32" eb="34">
      <t>テンケン</t>
    </rPh>
    <rPh sb="35" eb="37">
      <t>テイキ</t>
    </rPh>
    <rPh sb="37" eb="39">
      <t>ショウヒ</t>
    </rPh>
    <rPh sb="39" eb="41">
      <t>セツビ</t>
    </rPh>
    <rPh sb="41" eb="43">
      <t>チョウサ</t>
    </rPh>
    <rPh sb="44" eb="46">
      <t>ニンテイ</t>
    </rPh>
    <rPh sb="47" eb="48">
      <t>ウ</t>
    </rPh>
    <rPh sb="56" eb="58">
      <t>サイショウ</t>
    </rPh>
    <rPh sb="59" eb="62">
      <t>ショウヒシャ</t>
    </rPh>
    <rPh sb="62" eb="63">
      <t>スウ</t>
    </rPh>
    <rPh sb="67" eb="69">
      <t>キョウキュウ</t>
    </rPh>
    <rPh sb="69" eb="71">
      <t>カイシ</t>
    </rPh>
    <rPh sb="71" eb="72">
      <t>ジ</t>
    </rPh>
    <rPh sb="72" eb="74">
      <t>テンケン</t>
    </rPh>
    <rPh sb="75" eb="77">
      <t>チョウサ</t>
    </rPh>
    <rPh sb="78" eb="80">
      <t>ニンテイ</t>
    </rPh>
    <rPh sb="81" eb="82">
      <t>ウ</t>
    </rPh>
    <rPh sb="90" eb="92">
      <t>ギョウム</t>
    </rPh>
    <rPh sb="93" eb="94">
      <t>オコナ</t>
    </rPh>
    <rPh sb="102" eb="104">
      <t>ショウサイ</t>
    </rPh>
    <rPh sb="105" eb="107">
      <t>ツウタツ</t>
    </rPh>
    <rPh sb="108" eb="110">
      <t>キソク</t>
    </rPh>
    <rPh sb="110" eb="112">
      <t>カンケイ</t>
    </rPh>
    <rPh sb="113" eb="114">
      <t>ダイ</t>
    </rPh>
    <rPh sb="116" eb="117">
      <t>ジョウ</t>
    </rPh>
    <rPh sb="118" eb="120">
      <t>ホアン</t>
    </rPh>
    <rPh sb="120" eb="122">
      <t>ギョウム</t>
    </rPh>
    <rPh sb="122" eb="124">
      <t>クブン</t>
    </rPh>
    <rPh sb="125" eb="127">
      <t>カンケイ</t>
    </rPh>
    <phoneticPr fontId="1"/>
  </si>
  <si>
    <t>組織の種類の詳細については、規則第33条を確認</t>
    <phoneticPr fontId="1"/>
  </si>
  <si>
    <t>該当者がいない場合は「0」を記載</t>
    <rPh sb="0" eb="2">
      <t>ガイトウ</t>
    </rPh>
    <rPh sb="2" eb="3">
      <t>シャ</t>
    </rPh>
    <rPh sb="7" eb="9">
      <t>バアイ</t>
    </rPh>
    <rPh sb="14" eb="16">
      <t>キサイ</t>
    </rPh>
    <phoneticPr fontId="1"/>
  </si>
  <si>
    <r>
      <t>・</t>
    </r>
    <r>
      <rPr>
        <b/>
        <i/>
        <sz val="11"/>
        <color theme="1"/>
        <rFont val="ＭＳ Ｐゴシック"/>
        <family val="3"/>
        <charset val="128"/>
        <scheme val="minor"/>
      </rPr>
      <t>上記の資格を有する者は</t>
    </r>
    <r>
      <rPr>
        <b/>
        <i/>
        <u/>
        <sz val="11"/>
        <color theme="1"/>
        <rFont val="ＭＳ Ｐゴシック"/>
        <family val="3"/>
        <charset val="128"/>
        <scheme val="minor"/>
      </rPr>
      <t>含めない</t>
    </r>
    <r>
      <rPr>
        <sz val="11"/>
        <color theme="1"/>
        <rFont val="ＭＳ Ｐゴシック"/>
        <family val="2"/>
        <charset val="128"/>
        <scheme val="minor"/>
      </rPr>
      <t xml:space="preserve">
・該当者がいない場合は「0」を記載</t>
    </r>
    <rPh sb="1" eb="3">
      <t>ジョウキ</t>
    </rPh>
    <rPh sb="4" eb="6">
      <t>シカク</t>
    </rPh>
    <rPh sb="7" eb="8">
      <t>ユウ</t>
    </rPh>
    <rPh sb="10" eb="11">
      <t>モノ</t>
    </rPh>
    <rPh sb="12" eb="13">
      <t>フク</t>
    </rPh>
    <rPh sb="18" eb="21">
      <t>ガイトウシャ</t>
    </rPh>
    <rPh sb="25" eb="27">
      <t>バアイ</t>
    </rPh>
    <rPh sb="32" eb="34">
      <t>キサイ</t>
    </rPh>
    <phoneticPr fontId="1"/>
  </si>
  <si>
    <t>・該当者がいない場合は「0」を記載
・上記の「保安業務を行うその他の保安業務資格者」で、容器交換時等供給設備点検を行う者の数</t>
    <rPh sb="19" eb="21">
      <t>ジョウキ</t>
    </rPh>
    <rPh sb="23" eb="25">
      <t>ホアン</t>
    </rPh>
    <rPh sb="25" eb="27">
      <t>ギョウム</t>
    </rPh>
    <rPh sb="28" eb="29">
      <t>オコナ</t>
    </rPh>
    <rPh sb="32" eb="33">
      <t>タ</t>
    </rPh>
    <rPh sb="34" eb="36">
      <t>ホアン</t>
    </rPh>
    <rPh sb="36" eb="38">
      <t>ギョウム</t>
    </rPh>
    <rPh sb="38" eb="41">
      <t>シカクシャ</t>
    </rPh>
    <rPh sb="44" eb="46">
      <t>ヨウキ</t>
    </rPh>
    <rPh sb="46" eb="48">
      <t>コウカン</t>
    </rPh>
    <rPh sb="48" eb="49">
      <t>ジ</t>
    </rPh>
    <rPh sb="49" eb="50">
      <t>トウ</t>
    </rPh>
    <rPh sb="50" eb="52">
      <t>キョウキュウ</t>
    </rPh>
    <rPh sb="52" eb="54">
      <t>セツビ</t>
    </rPh>
    <rPh sb="54" eb="56">
      <t>テンケン</t>
    </rPh>
    <rPh sb="57" eb="58">
      <t>オコナ</t>
    </rPh>
    <rPh sb="59" eb="60">
      <t>モノ</t>
    </rPh>
    <rPh sb="61" eb="62">
      <t>カズ</t>
    </rPh>
    <phoneticPr fontId="1"/>
  </si>
  <si>
    <t>保安業務告示第2条第1号に規定する補助員</t>
    <rPh sb="0" eb="2">
      <t>ホアン</t>
    </rPh>
    <rPh sb="2" eb="4">
      <t>ギョウム</t>
    </rPh>
    <rPh sb="4" eb="6">
      <t>コクジ</t>
    </rPh>
    <rPh sb="6" eb="7">
      <t>ダイ</t>
    </rPh>
    <rPh sb="8" eb="9">
      <t>ジョウ</t>
    </rPh>
    <rPh sb="9" eb="10">
      <t>ダイ</t>
    </rPh>
    <rPh sb="11" eb="12">
      <t>ゴウ</t>
    </rPh>
    <rPh sb="13" eb="15">
      <t>キテイ</t>
    </rPh>
    <rPh sb="17" eb="20">
      <t>ホジョイン</t>
    </rPh>
    <phoneticPr fontId="1"/>
  </si>
  <si>
    <t>写真を添付する</t>
    <rPh sb="0" eb="2">
      <t>シャシン</t>
    </rPh>
    <rPh sb="3" eb="5">
      <t>テンプ</t>
    </rPh>
    <phoneticPr fontId="1"/>
  </si>
  <si>
    <t>配置する者がいない場合は「0」を記載</t>
    <rPh sb="0" eb="2">
      <t>ハイチ</t>
    </rPh>
    <rPh sb="4" eb="5">
      <t>モノ</t>
    </rPh>
    <rPh sb="9" eb="11">
      <t>バアイ</t>
    </rPh>
    <rPh sb="16" eb="18">
      <t>キサイ</t>
    </rPh>
    <phoneticPr fontId="1"/>
  </si>
  <si>
    <t>億円単位</t>
    <rPh sb="0" eb="1">
      <t>オク</t>
    </rPh>
    <rPh sb="1" eb="2">
      <t>エン</t>
    </rPh>
    <rPh sb="2" eb="4">
      <t>タンイ</t>
    </rPh>
    <phoneticPr fontId="1"/>
  </si>
  <si>
    <t>万円単位</t>
    <phoneticPr fontId="1"/>
  </si>
  <si>
    <t>円単位</t>
    <phoneticPr fontId="1"/>
  </si>
  <si>
    <t>金額は、滋賀県使用料および手数料条例第２条第２項（62）（別表第55）による</t>
    <rPh sb="0" eb="2">
      <t>キンガク</t>
    </rPh>
    <phoneticPr fontId="1"/>
  </si>
  <si>
    <t>滋LP様式第13-1別紙「事業所ごとの保安業務を行う一般消費者等の数」</t>
    <rPh sb="0" eb="1">
      <t>ジ</t>
    </rPh>
    <rPh sb="3" eb="5">
      <t>ヨウシキ</t>
    </rPh>
    <rPh sb="5" eb="6">
      <t>ダイ</t>
    </rPh>
    <rPh sb="10" eb="12">
      <t>ベッシ</t>
    </rPh>
    <rPh sb="13" eb="16">
      <t>ジギョウショ</t>
    </rPh>
    <rPh sb="19" eb="21">
      <t>ホアン</t>
    </rPh>
    <rPh sb="21" eb="23">
      <t>ギョウム</t>
    </rPh>
    <rPh sb="24" eb="25">
      <t>オコナ</t>
    </rPh>
    <rPh sb="26" eb="28">
      <t>イッパン</t>
    </rPh>
    <rPh sb="28" eb="31">
      <t>ショウヒシャ</t>
    </rPh>
    <rPh sb="31" eb="32">
      <t>トウ</t>
    </rPh>
    <rPh sb="33" eb="34">
      <t>カズ</t>
    </rPh>
    <phoneticPr fontId="1"/>
  </si>
  <si>
    <t>●事業所ごとの保安業務を行う一般消費者等の数</t>
    <rPh sb="1" eb="3">
      <t>ジギョウ</t>
    </rPh>
    <rPh sb="3" eb="4">
      <t>ショ</t>
    </rPh>
    <rPh sb="7" eb="9">
      <t>ホアン</t>
    </rPh>
    <rPh sb="9" eb="11">
      <t>ギョウム</t>
    </rPh>
    <rPh sb="12" eb="13">
      <t>オコナ</t>
    </rPh>
    <rPh sb="14" eb="16">
      <t>イッパン</t>
    </rPh>
    <rPh sb="16" eb="19">
      <t>ショウヒシャ</t>
    </rPh>
    <rPh sb="19" eb="20">
      <t>トウ</t>
    </rPh>
    <rPh sb="21" eb="22">
      <t>カズ</t>
    </rPh>
    <phoneticPr fontId="1"/>
  </si>
  <si>
    <t>容器交換時
等供給設備
点検</t>
    <rPh sb="0" eb="2">
      <t>ヨウキ</t>
    </rPh>
    <rPh sb="2" eb="4">
      <t>コウカン</t>
    </rPh>
    <rPh sb="4" eb="5">
      <t>ジ</t>
    </rPh>
    <rPh sb="6" eb="7">
      <t>トウ</t>
    </rPh>
    <rPh sb="7" eb="9">
      <t>キョウキュウ</t>
    </rPh>
    <rPh sb="9" eb="10">
      <t>セツ</t>
    </rPh>
    <rPh sb="10" eb="11">
      <t>ビ</t>
    </rPh>
    <rPh sb="12" eb="14">
      <t>テンケン</t>
    </rPh>
    <phoneticPr fontId="1"/>
  </si>
  <si>
    <t>定期供給
設備点検</t>
    <rPh sb="0" eb="2">
      <t>テイキ</t>
    </rPh>
    <rPh sb="2" eb="4">
      <t>キョウキュウ</t>
    </rPh>
    <rPh sb="5" eb="7">
      <t>セツビ</t>
    </rPh>
    <rPh sb="7" eb="9">
      <t>テンケン</t>
    </rPh>
    <phoneticPr fontId="1"/>
  </si>
  <si>
    <t>定期消費
設備調査</t>
    <rPh sb="0" eb="2">
      <t>テイキ</t>
    </rPh>
    <rPh sb="2" eb="4">
      <t>ショウヒ</t>
    </rPh>
    <rPh sb="5" eb="7">
      <t>セツビ</t>
    </rPh>
    <rPh sb="7" eb="9">
      <t>チョウサ</t>
    </rPh>
    <phoneticPr fontId="1"/>
  </si>
  <si>
    <t>損害賠償責任保険に加入していることを証する書面（付保証明書等）</t>
    <rPh sb="0" eb="2">
      <t>ソンガイ</t>
    </rPh>
    <rPh sb="2" eb="4">
      <t>バイショウ</t>
    </rPh>
    <rPh sb="4" eb="6">
      <t>セキニン</t>
    </rPh>
    <rPh sb="6" eb="8">
      <t>ホケン</t>
    </rPh>
    <rPh sb="9" eb="11">
      <t>カニュウ</t>
    </rPh>
    <rPh sb="18" eb="19">
      <t>ショウ</t>
    </rPh>
    <rPh sb="21" eb="23">
      <t>ショメン</t>
    </rPh>
    <rPh sb="24" eb="26">
      <t>フホ</t>
    </rPh>
    <rPh sb="26" eb="29">
      <t>ショウメイショ</t>
    </rPh>
    <rPh sb="29" eb="30">
      <t>トウ</t>
    </rPh>
    <phoneticPr fontId="1"/>
  </si>
  <si>
    <t>　　は、通達（法律関係）第31条（認定の基準）関係２による）</t>
    <phoneticPr fontId="1"/>
  </si>
  <si>
    <t>　　行に支障を及ぼすおそれがある。</t>
    <phoneticPr fontId="1"/>
  </si>
  <si>
    <t>法人</t>
  </si>
  <si>
    <t>株式会社、有限会社</t>
  </si>
  <si>
    <t>○○株式会社</t>
    <rPh sb="2" eb="6">
      <t>カブシキカイシャ</t>
    </rPh>
    <phoneticPr fontId="1"/>
  </si>
  <si>
    <t>□□　□□</t>
    <phoneticPr fontId="1"/>
  </si>
  <si>
    <t>○○市○○町１－２－２０</t>
    <rPh sb="2" eb="3">
      <t>シ</t>
    </rPh>
    <rPh sb="5" eb="6">
      <t>マチ</t>
    </rPh>
    <phoneticPr fontId="1"/>
  </si>
  <si>
    <t>同じ</t>
  </si>
  <si>
    <t>077-523-2892</t>
    <phoneticPr fontId="1"/>
  </si>
  <si>
    <t>規則関係通達第29号により認定を受けることなく業務を行う</t>
  </si>
  <si>
    <t>容器交換時等供給設備点検の認定を受ける</t>
  </si>
  <si>
    <t>定期供給設備点検の認定を受ける</t>
  </si>
  <si>
    <t>定期消費設備調査の認定を受ける</t>
  </si>
  <si>
    <t>周知の認定を受ける</t>
  </si>
  <si>
    <t>緊急時対応の認定を受ける</t>
  </si>
  <si>
    <t>定期供給設備点検に補助員を伴わない</t>
  </si>
  <si>
    <t>定期消費設備調査に補助員を伴わない</t>
  </si>
  <si>
    <t>LPガス販売事業を行っている</t>
  </si>
  <si>
    <t>滋賀県外にLPガス販売所はない</t>
  </si>
  <si>
    <t>自社が販売する一般消費者等へ保安業務を行う</t>
  </si>
  <si>
    <t>他の販売事業者から保安業務を受けない</t>
  </si>
  <si>
    <t>工業用LPガスの販売を行っている</t>
  </si>
  <si>
    <t>LPガスの充てん業務は行っていない</t>
  </si>
  <si>
    <t>LPガスの製造業務は行っていない</t>
  </si>
  <si>
    <t>LPガスの配送業務を行っている</t>
  </si>
  <si>
    <t>LPガス器具の販売を行っている</t>
  </si>
  <si>
    <t>LPガス配管または設備の工事を行っている</t>
  </si>
  <si>
    <t>なし</t>
  </si>
  <si>
    <t>LPガスに関する業務以外の業務を行っている</t>
  </si>
  <si>
    <t>保安業務以外の業務中でも、適確に保安業務を行う体制を整えている</t>
  </si>
  <si>
    <t>周知を他の保安業務と同時に実施しない</t>
  </si>
  <si>
    <t>自動車</t>
    <rPh sb="0" eb="3">
      <t>ジドウシャ</t>
    </rPh>
    <phoneticPr fontId="1"/>
  </si>
  <si>
    <t>滋賀●●●△■■-■■</t>
    <rPh sb="0" eb="2">
      <t>シガ</t>
    </rPh>
    <phoneticPr fontId="1"/>
  </si>
  <si>
    <t>緊急時対応に出動するための手段を専有している</t>
  </si>
  <si>
    <t>保安業務資格者を事業所に配置していないときがある</t>
  </si>
  <si>
    <t>集中監視システムを一部の一般消費者等に導入している</t>
  </si>
  <si>
    <t>緊急時連絡の受信を電話で行う</t>
  </si>
  <si>
    <t>●●●●-●●-●●●●</t>
    <phoneticPr fontId="1"/>
  </si>
  <si>
    <t>○○市○○町１－２－２１</t>
    <rPh sb="2" eb="3">
      <t>シ</t>
    </rPh>
    <rPh sb="5" eb="6">
      <t>マチ</t>
    </rPh>
    <phoneticPr fontId="1"/>
  </si>
  <si>
    <t>締結している</t>
  </si>
  <si>
    <t>東京海上日動火災保険株式会社</t>
  </si>
  <si>
    <t>LPガス販売事業者賠償責任保険</t>
  </si>
  <si>
    <t>法令違反が原因の事故について補償が免責ではない</t>
  </si>
  <si>
    <t>保険期間中の保険金支払額に制限がない</t>
  </si>
  <si>
    <t>締結していない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</si>
</sst>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numFmt numFmtId="177" formatCode="[$-411]ggge&quot;年&quot;m&quot;月&quot;d&quot;日&quot;;@"/>
    <numFmt numFmtId="178" formatCode="#&quot;か&quot;&quot;所&quot;"/>
    <numFmt numFmtId="179" formatCode="#,##0&quot;円&quot;"/>
    <numFmt numFmtId="180" formatCode="#,##0&quot;億円&quot;"/>
    <numFmt numFmtId="181" formatCode="#,##0&quot;万円&quot;"/>
    <numFmt numFmtId="182" formatCode="General\%"/>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3"/>
      <color theme="1"/>
      <name val="ＭＳ 明朝"/>
      <family val="1"/>
      <charset val="128"/>
    </font>
    <font>
      <sz val="12"/>
      <color theme="1"/>
      <name val="HG丸ｺﾞｼｯｸM-PRO"/>
      <family val="3"/>
      <charset val="128"/>
    </font>
    <font>
      <sz val="10.5"/>
      <color theme="1"/>
      <name val="ＭＳ ゴシック"/>
      <family val="3"/>
      <charset val="128"/>
    </font>
    <font>
      <sz val="10.5"/>
      <color theme="1"/>
      <name val="ＭＳ Ｐゴシック"/>
      <family val="2"/>
      <charset val="128"/>
      <scheme val="minor"/>
    </font>
    <font>
      <sz val="12"/>
      <color theme="1"/>
      <name val="ＭＳ 明朝"/>
      <family val="1"/>
      <charset val="128"/>
    </font>
    <font>
      <u/>
      <sz val="10.5"/>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rgb="FF0070C0"/>
      <name val="ＭＳ Ｐゴシック"/>
      <family val="3"/>
      <charset val="128"/>
      <scheme val="minor"/>
    </font>
    <font>
      <u/>
      <sz val="11"/>
      <color theme="10"/>
      <name val="ＭＳ Ｐゴシック"/>
      <family val="2"/>
      <charset val="128"/>
      <scheme val="minor"/>
    </font>
    <font>
      <sz val="11"/>
      <color rgb="FFC00000"/>
      <name val="ＭＳ Ｐゴシック"/>
      <family val="2"/>
      <charset val="128"/>
      <scheme val="minor"/>
    </font>
    <font>
      <sz val="11"/>
      <color rgb="FFC00000"/>
      <name val="ＭＳ Ｐゴシック"/>
      <family val="3"/>
      <charset val="128"/>
      <scheme val="minor"/>
    </font>
    <font>
      <sz val="14"/>
      <color theme="1"/>
      <name val="HG丸ｺﾞｼｯｸM-PRO"/>
      <family val="3"/>
      <charset val="128"/>
    </font>
    <font>
      <u/>
      <sz val="11"/>
      <color theme="10"/>
      <name val="ＭＳ 明朝"/>
      <family val="1"/>
      <charset val="128"/>
    </font>
    <font>
      <b/>
      <i/>
      <sz val="11"/>
      <color theme="1"/>
      <name val="ＭＳ Ｐゴシック"/>
      <family val="3"/>
      <charset val="128"/>
      <scheme val="minor"/>
    </font>
    <font>
      <b/>
      <i/>
      <u/>
      <sz val="11"/>
      <color theme="1"/>
      <name val="ＭＳ Ｐゴシック"/>
      <family val="3"/>
      <charset val="128"/>
      <scheme val="minor"/>
    </font>
    <font>
      <b/>
      <i/>
      <u/>
      <sz val="10.5"/>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71">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style="double">
        <color auto="1"/>
      </bottom>
      <diagonal/>
    </border>
    <border diagonalDown="1">
      <left style="hair">
        <color auto="1"/>
      </left>
      <right style="hair">
        <color auto="1"/>
      </right>
      <top style="double">
        <color auto="1"/>
      </top>
      <bottom style="hair">
        <color auto="1"/>
      </bottom>
      <diagonal style="hair">
        <color auto="1"/>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diagonal/>
    </border>
    <border>
      <left style="hair">
        <color auto="1"/>
      </left>
      <right style="double">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top style="hair">
        <color auto="1"/>
      </top>
      <bottom style="thin">
        <color auto="1"/>
      </bottom>
      <diagonal/>
    </border>
    <border>
      <left/>
      <right/>
      <top style="thin">
        <color auto="1"/>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36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3"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8" xfId="0" applyFont="1" applyBorder="1">
      <alignment vertical="center"/>
    </xf>
    <xf numFmtId="0" fontId="6" fillId="0" borderId="0" xfId="0" applyFont="1">
      <alignment vertical="center"/>
    </xf>
    <xf numFmtId="176" fontId="3" fillId="0" borderId="13" xfId="0" applyNumberFormat="1" applyFont="1" applyBorder="1">
      <alignment vertical="center"/>
    </xf>
    <xf numFmtId="176" fontId="3" fillId="0" borderId="3" xfId="0" applyNumberFormat="1"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shrinkToFit="1"/>
    </xf>
    <xf numFmtId="0" fontId="0" fillId="0" borderId="0" xfId="0" applyAlignment="1">
      <alignment vertical="center" wrapText="1"/>
    </xf>
    <xf numFmtId="38" fontId="3" fillId="0" borderId="4" xfId="1" applyFont="1" applyBorder="1" applyAlignment="1">
      <alignment horizontal="center" vertical="center"/>
    </xf>
    <xf numFmtId="0" fontId="0" fillId="0" borderId="0" xfId="0" applyAlignment="1">
      <alignment horizontal="center" vertical="center" wrapText="1"/>
    </xf>
    <xf numFmtId="0" fontId="0" fillId="2" borderId="34" xfId="0" applyFill="1" applyBorder="1" applyAlignment="1">
      <alignment vertical="center" wrapText="1"/>
    </xf>
    <xf numFmtId="0" fontId="0" fillId="2" borderId="21" xfId="0" applyFill="1" applyBorder="1" applyAlignment="1">
      <alignment vertical="center" wrapText="1"/>
    </xf>
    <xf numFmtId="0" fontId="0" fillId="2" borderId="23" xfId="0" applyFill="1" applyBorder="1" applyAlignment="1">
      <alignment vertical="center" wrapText="1"/>
    </xf>
    <xf numFmtId="0" fontId="0" fillId="3" borderId="34" xfId="0" applyFill="1" applyBorder="1" applyAlignment="1">
      <alignment vertical="center" wrapText="1"/>
    </xf>
    <xf numFmtId="0" fontId="0" fillId="3" borderId="21" xfId="0" applyFill="1" applyBorder="1" applyAlignment="1">
      <alignment vertical="center" wrapText="1"/>
    </xf>
    <xf numFmtId="0" fontId="0" fillId="3" borderId="23" xfId="0" applyFill="1" applyBorder="1" applyAlignment="1">
      <alignment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7" xfId="0" applyFont="1" applyBorder="1" applyAlignment="1">
      <alignment horizontal="center" vertical="center"/>
    </xf>
    <xf numFmtId="0" fontId="0" fillId="3" borderId="41" xfId="0" applyFill="1" applyBorder="1" applyAlignment="1">
      <alignment vertical="center" wrapText="1"/>
    </xf>
    <xf numFmtId="0" fontId="15" fillId="0" borderId="28" xfId="0" applyFont="1" applyBorder="1" applyAlignment="1">
      <alignment horizontal="center" vertical="center" wrapText="1"/>
    </xf>
    <xf numFmtId="0" fontId="0" fillId="2" borderId="43" xfId="0" applyFill="1" applyBorder="1" applyAlignment="1">
      <alignment vertical="center" wrapText="1"/>
    </xf>
    <xf numFmtId="0" fontId="15" fillId="0" borderId="44" xfId="0" applyFont="1" applyBorder="1" applyAlignment="1">
      <alignment horizontal="center" vertical="center" wrapText="1"/>
    </xf>
    <xf numFmtId="14" fontId="11" fillId="0" borderId="37" xfId="0" applyNumberFormat="1" applyFont="1" applyBorder="1" applyAlignment="1" applyProtection="1">
      <alignment horizontal="center" vertical="center" wrapText="1"/>
      <protection locked="0"/>
    </xf>
    <xf numFmtId="14" fontId="11" fillId="0" borderId="28" xfId="0" applyNumberFormat="1"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178" fontId="12" fillId="0" borderId="28" xfId="0" applyNumberFormat="1"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12" fillId="0" borderId="30" xfId="1" applyFont="1" applyFill="1" applyBorder="1" applyAlignment="1" applyProtection="1">
      <alignment horizontal="center" vertical="center" wrapText="1"/>
      <protection locked="0"/>
    </xf>
    <xf numFmtId="38" fontId="12" fillId="0" borderId="31" xfId="1" applyFont="1" applyFill="1" applyBorder="1" applyAlignment="1" applyProtection="1">
      <alignment horizontal="center" vertical="center" wrapText="1"/>
      <protection locked="0"/>
    </xf>
    <xf numFmtId="38" fontId="12" fillId="0" borderId="32" xfId="1" applyFont="1" applyFill="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38" fontId="11" fillId="0" borderId="28" xfId="1"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180" fontId="11" fillId="0" borderId="28" xfId="0" applyNumberFormat="1" applyFont="1" applyBorder="1" applyAlignment="1" applyProtection="1">
      <alignment horizontal="center" vertical="center" wrapText="1"/>
      <protection locked="0"/>
    </xf>
    <xf numFmtId="181" fontId="11" fillId="0" borderId="28" xfId="0" applyNumberFormat="1" applyFont="1" applyBorder="1" applyAlignment="1" applyProtection="1">
      <alignment horizontal="center" vertical="center" wrapText="1"/>
      <protection locked="0"/>
    </xf>
    <xf numFmtId="179" fontId="11" fillId="0" borderId="29" xfId="0" applyNumberFormat="1" applyFont="1" applyBorder="1" applyAlignment="1" applyProtection="1">
      <alignment horizontal="center" vertical="center" wrapText="1"/>
      <protection locked="0"/>
    </xf>
    <xf numFmtId="0" fontId="13" fillId="0" borderId="0" xfId="2" applyAlignment="1" applyProtection="1">
      <alignment vertical="center" wrapText="1"/>
      <protection locked="0"/>
    </xf>
    <xf numFmtId="0" fontId="3" fillId="0" borderId="27" xfId="0" applyFont="1" applyBorder="1" applyProtection="1">
      <alignment vertical="center"/>
      <protection locked="0"/>
    </xf>
    <xf numFmtId="0" fontId="3" fillId="0" borderId="13" xfId="0" applyFont="1" applyBorder="1" applyProtection="1">
      <alignment vertical="center"/>
      <protection locked="0"/>
    </xf>
    <xf numFmtId="0" fontId="3" fillId="0" borderId="29"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0" xfId="0" applyFont="1" applyProtection="1">
      <alignment vertical="center"/>
      <protection locked="0"/>
    </xf>
    <xf numFmtId="0" fontId="3" fillId="0" borderId="6" xfId="0" applyFont="1" applyBorder="1" applyProtection="1">
      <alignment vertical="center"/>
      <protection locked="0"/>
    </xf>
    <xf numFmtId="0" fontId="3" fillId="0" borderId="11" xfId="0" applyFont="1" applyBorder="1" applyAlignment="1" applyProtection="1">
      <alignment horizontal="centerContinuous" vertical="center"/>
      <protection locked="0"/>
    </xf>
    <xf numFmtId="0" fontId="3" fillId="0" borderId="0" xfId="0" applyFont="1" applyAlignment="1" applyProtection="1">
      <alignment horizontal="centerContinuous" vertical="center"/>
      <protection locked="0"/>
    </xf>
    <xf numFmtId="0" fontId="3" fillId="0" borderId="6" xfId="0" applyFont="1" applyBorder="1" applyAlignment="1" applyProtection="1">
      <alignment horizontal="centerContinuous" vertical="center"/>
      <protection locked="0"/>
    </xf>
    <xf numFmtId="0" fontId="3" fillId="0" borderId="14" xfId="0" applyFont="1" applyBorder="1" applyProtection="1">
      <alignment vertical="center"/>
      <protection locked="0"/>
    </xf>
    <xf numFmtId="0" fontId="3" fillId="0" borderId="12" xfId="0" applyFont="1" applyBorder="1" applyProtection="1">
      <alignment vertical="center"/>
      <protection locked="0"/>
    </xf>
    <xf numFmtId="0" fontId="16" fillId="0" borderId="0" xfId="0" applyFont="1">
      <alignment vertical="center"/>
    </xf>
    <xf numFmtId="0" fontId="3" fillId="0" borderId="0" xfId="0" applyFont="1" applyAlignment="1">
      <alignment horizontal="center" vertical="center"/>
    </xf>
    <xf numFmtId="0" fontId="14" fillId="0" borderId="31"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4" xfId="0" applyBorder="1">
      <alignment vertical="center"/>
    </xf>
    <xf numFmtId="0" fontId="0" fillId="0" borderId="12" xfId="0" applyBorder="1">
      <alignment vertical="center"/>
    </xf>
    <xf numFmtId="0" fontId="0" fillId="0" borderId="13" xfId="0" applyBorder="1">
      <alignment vertical="center"/>
    </xf>
    <xf numFmtId="0" fontId="6" fillId="0" borderId="46" xfId="0" applyFont="1" applyBorder="1">
      <alignment vertical="center"/>
    </xf>
    <xf numFmtId="0" fontId="3" fillId="0" borderId="47" xfId="0" applyFont="1" applyBorder="1">
      <alignment vertical="center"/>
    </xf>
    <xf numFmtId="0" fontId="3" fillId="0" borderId="46"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12" xfId="0" applyFont="1" applyBorder="1">
      <alignment vertical="center"/>
    </xf>
    <xf numFmtId="0" fontId="0" fillId="3" borderId="24" xfId="0" applyFill="1" applyBorder="1" applyAlignment="1">
      <alignment vertical="center" wrapText="1"/>
    </xf>
    <xf numFmtId="178" fontId="12" fillId="0" borderId="27" xfId="0" applyNumberFormat="1" applyFont="1" applyBorder="1" applyAlignment="1" applyProtection="1">
      <alignment horizontal="center" vertical="center" wrapText="1"/>
      <protection locked="0"/>
    </xf>
    <xf numFmtId="0" fontId="0" fillId="0" borderId="8" xfId="0" applyBorder="1">
      <alignment vertical="center"/>
    </xf>
    <xf numFmtId="0" fontId="0" fillId="2" borderId="25" xfId="0" applyFill="1" applyBorder="1" applyAlignment="1">
      <alignment vertical="center" wrapText="1"/>
    </xf>
    <xf numFmtId="0" fontId="0" fillId="3" borderId="30" xfId="0" applyFill="1" applyBorder="1" applyAlignment="1">
      <alignment vertical="center" wrapText="1"/>
    </xf>
    <xf numFmtId="0" fontId="0" fillId="0" borderId="0" xfId="0" applyAlignment="1">
      <alignment vertical="center" shrinkToFit="1"/>
    </xf>
    <xf numFmtId="0" fontId="3" fillId="0" borderId="4" xfId="0" applyFont="1" applyBorder="1" applyAlignment="1">
      <alignment horizontal="center" vertical="center" wrapText="1"/>
    </xf>
    <xf numFmtId="38" fontId="3" fillId="0" borderId="13" xfId="1" applyFont="1" applyBorder="1" applyAlignment="1" applyProtection="1">
      <alignment horizontal="center" vertical="center"/>
      <protection locked="0"/>
    </xf>
    <xf numFmtId="38" fontId="3" fillId="0" borderId="15" xfId="1" applyFont="1" applyBorder="1" applyAlignment="1" applyProtection="1">
      <alignment horizontal="center" vertical="center"/>
      <protection locked="0"/>
    </xf>
    <xf numFmtId="38" fontId="3" fillId="0" borderId="24" xfId="1" applyFont="1" applyBorder="1" applyAlignment="1" applyProtection="1">
      <alignment horizontal="center" vertical="center"/>
      <protection locked="0"/>
    </xf>
    <xf numFmtId="38" fontId="3" fillId="0" borderId="26" xfId="1" applyFont="1" applyBorder="1" applyAlignment="1" applyProtection="1">
      <alignment horizontal="center" vertical="center"/>
      <protection locked="0"/>
    </xf>
    <xf numFmtId="38" fontId="3" fillId="0" borderId="22" xfId="1" applyFont="1" applyBorder="1" applyAlignment="1" applyProtection="1">
      <alignment horizontal="center" vertical="center"/>
      <protection locked="0"/>
    </xf>
    <xf numFmtId="38" fontId="3" fillId="0" borderId="23" xfId="1" applyFont="1" applyBorder="1" applyAlignment="1" applyProtection="1">
      <alignment horizontal="center" vertical="center"/>
      <protection locked="0"/>
    </xf>
    <xf numFmtId="0" fontId="2" fillId="0" borderId="0" xfId="0" applyFont="1" applyProtection="1">
      <alignment vertical="center"/>
      <protection locked="0"/>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38" fontId="3" fillId="0" borderId="27" xfId="1" applyFont="1" applyBorder="1" applyAlignment="1" applyProtection="1">
      <alignment horizontal="center" vertical="center"/>
      <protection locked="0"/>
    </xf>
    <xf numFmtId="38" fontId="3" fillId="0" borderId="29" xfId="1" applyFont="1" applyBorder="1" applyAlignment="1" applyProtection="1">
      <alignment horizontal="center" vertical="center"/>
      <protection locked="0"/>
    </xf>
    <xf numFmtId="0" fontId="0" fillId="3" borderId="63" xfId="0" applyFill="1" applyBorder="1" applyAlignment="1">
      <alignment vertical="center" wrapText="1"/>
    </xf>
    <xf numFmtId="179" fontId="11" fillId="0" borderId="34" xfId="0" applyNumberFormat="1" applyFont="1" applyBorder="1" applyAlignment="1" applyProtection="1">
      <alignment horizontal="center" vertical="center" wrapText="1"/>
      <protection locked="0"/>
    </xf>
    <xf numFmtId="0" fontId="0" fillId="3" borderId="22" xfId="0" applyFill="1" applyBorder="1" applyAlignment="1">
      <alignment vertical="center" wrapText="1"/>
    </xf>
    <xf numFmtId="0" fontId="0" fillId="0" borderId="0" xfId="2" applyFont="1" applyAlignment="1" applyProtection="1">
      <alignment vertical="center" wrapText="1"/>
    </xf>
    <xf numFmtId="179" fontId="13" fillId="0" borderId="23" xfId="2" applyNumberFormat="1" applyBorder="1" applyAlignment="1" applyProtection="1">
      <alignment horizontal="center" vertical="center" wrapText="1"/>
      <protection locked="0"/>
    </xf>
    <xf numFmtId="38" fontId="14" fillId="0" borderId="28" xfId="1" applyFont="1" applyBorder="1" applyAlignment="1" applyProtection="1">
      <alignment horizontal="center" vertical="center" wrapText="1"/>
    </xf>
    <xf numFmtId="0" fontId="11" fillId="0" borderId="2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36" xfId="0" applyFont="1" applyBorder="1" applyAlignment="1">
      <alignment horizontal="center" vertical="center"/>
    </xf>
    <xf numFmtId="0" fontId="3" fillId="0" borderId="22" xfId="0" applyFont="1" applyBorder="1" applyAlignment="1">
      <alignment vertical="center" textRotation="255"/>
    </xf>
    <xf numFmtId="0" fontId="3" fillId="0" borderId="23" xfId="0" applyFont="1" applyBorder="1" applyAlignment="1">
      <alignment vertical="center" textRotation="255"/>
    </xf>
    <xf numFmtId="0" fontId="3" fillId="0" borderId="26" xfId="0" applyFont="1" applyBorder="1" applyAlignment="1">
      <alignment horizontal="left" vertical="center" textRotation="255"/>
    </xf>
    <xf numFmtId="0" fontId="3" fillId="0" borderId="67" xfId="0" applyFont="1" applyBorder="1" applyAlignment="1">
      <alignment horizontal="right" vertical="center" textRotation="255"/>
    </xf>
    <xf numFmtId="0" fontId="3" fillId="0" borderId="69" xfId="0" applyFont="1" applyBorder="1" applyAlignment="1">
      <alignment horizontal="right" vertical="center" textRotation="255"/>
    </xf>
    <xf numFmtId="0" fontId="3" fillId="0" borderId="23" xfId="0" applyFont="1" applyBorder="1" applyAlignment="1">
      <alignment horizontal="center" vertical="center"/>
    </xf>
    <xf numFmtId="0" fontId="3" fillId="0" borderId="66"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15"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3" fillId="0" borderId="24" xfId="1" applyFont="1" applyBorder="1" applyAlignment="1" applyProtection="1">
      <alignment horizontal="center" vertical="center" shrinkToFit="1"/>
      <protection locked="0"/>
    </xf>
    <xf numFmtId="0" fontId="3" fillId="0" borderId="35"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1" xfId="0" applyFont="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3" fillId="0" borderId="21" xfId="1" applyFont="1" applyBorder="1" applyAlignment="1" applyProtection="1">
      <alignment horizontal="center" vertical="center" shrinkToFit="1"/>
      <protection locked="0"/>
    </xf>
    <xf numFmtId="0" fontId="3" fillId="0" borderId="36"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38" fontId="3" fillId="0" borderId="23" xfId="1" applyFont="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0" fillId="3" borderId="31" xfId="0" applyFill="1" applyBorder="1" applyAlignment="1">
      <alignment vertical="center" wrapText="1"/>
    </xf>
    <xf numFmtId="0" fontId="11" fillId="0" borderId="31" xfId="0" applyFont="1" applyBorder="1" applyAlignment="1" applyProtection="1">
      <alignment horizontal="center" vertical="center" wrapText="1"/>
      <protection locked="0"/>
    </xf>
    <xf numFmtId="0" fontId="0" fillId="2" borderId="45" xfId="0" applyFill="1" applyBorder="1" applyAlignment="1">
      <alignment vertical="center" wrapText="1"/>
    </xf>
    <xf numFmtId="0" fontId="14" fillId="0" borderId="29" xfId="0" applyFont="1" applyBorder="1" applyAlignment="1">
      <alignment horizontal="center" vertical="center"/>
    </xf>
    <xf numFmtId="0" fontId="11" fillId="0" borderId="29" xfId="0" applyFont="1" applyBorder="1" applyAlignment="1" applyProtection="1">
      <alignment horizontal="center" vertical="center" wrapText="1"/>
      <protection locked="0"/>
    </xf>
    <xf numFmtId="0" fontId="14" fillId="0" borderId="28" xfId="0" applyFont="1" applyBorder="1" applyAlignment="1">
      <alignment horizontal="center" vertical="center" wrapText="1"/>
    </xf>
    <xf numFmtId="0" fontId="0" fillId="3" borderId="32" xfId="0" applyFill="1" applyBorder="1" applyAlignment="1">
      <alignment vertical="center" wrapText="1"/>
    </xf>
    <xf numFmtId="0" fontId="3" fillId="0" borderId="4" xfId="0" applyFont="1" applyBorder="1" applyAlignment="1">
      <alignment horizontal="center" vertical="center" shrinkToFit="1"/>
    </xf>
    <xf numFmtId="0" fontId="0" fillId="2" borderId="45" xfId="0" applyFill="1" applyBorder="1" applyAlignment="1">
      <alignment vertical="center" wrapText="1"/>
    </xf>
    <xf numFmtId="0" fontId="0" fillId="2" borderId="25" xfId="0" applyFill="1" applyBorder="1" applyAlignment="1">
      <alignment vertical="center" wrapText="1"/>
    </xf>
    <xf numFmtId="0" fontId="0" fillId="3" borderId="39" xfId="0" applyFill="1" applyBorder="1" applyAlignment="1">
      <alignment vertical="center" wrapText="1"/>
    </xf>
    <xf numFmtId="0" fontId="0" fillId="3" borderId="40" xfId="0" applyFill="1" applyBorder="1" applyAlignment="1">
      <alignment vertical="center" wrapText="1"/>
    </xf>
    <xf numFmtId="0" fontId="0" fillId="2" borderId="33" xfId="0" applyFill="1" applyBorder="1" applyAlignment="1">
      <alignment vertical="center" wrapText="1"/>
    </xf>
    <xf numFmtId="0" fontId="0" fillId="2" borderId="38" xfId="0" applyFill="1" applyBorder="1" applyAlignment="1">
      <alignment vertical="center" wrapText="1"/>
    </xf>
    <xf numFmtId="0" fontId="0" fillId="2" borderId="36" xfId="0" applyFill="1" applyBorder="1" applyAlignment="1">
      <alignment vertical="center" wrapText="1"/>
    </xf>
    <xf numFmtId="0" fontId="0" fillId="3" borderId="33" xfId="0" applyFill="1" applyBorder="1" applyAlignment="1">
      <alignment vertical="center" wrapText="1"/>
    </xf>
    <xf numFmtId="0" fontId="0" fillId="3" borderId="35" xfId="0" applyFill="1" applyBorder="1" applyAlignment="1">
      <alignment vertical="center" wrapText="1"/>
    </xf>
    <xf numFmtId="0" fontId="0" fillId="3" borderId="36" xfId="0" applyFill="1" applyBorder="1" applyAlignment="1">
      <alignment vertical="center" wrapText="1"/>
    </xf>
    <xf numFmtId="0" fontId="0" fillId="2" borderId="35" xfId="0" applyFill="1" applyBorder="1" applyAlignment="1">
      <alignment vertical="center" wrapText="1"/>
    </xf>
    <xf numFmtId="0" fontId="0" fillId="3" borderId="38" xfId="0" applyFill="1" applyBorder="1" applyAlignment="1">
      <alignment vertical="center" wrapText="1"/>
    </xf>
    <xf numFmtId="0" fontId="0" fillId="2" borderId="39" xfId="0" applyFill="1" applyBorder="1" applyAlignment="1">
      <alignment vertical="center" wrapText="1"/>
    </xf>
    <xf numFmtId="0" fontId="0" fillId="2" borderId="40" xfId="0" applyFill="1"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17" fillId="0" borderId="0" xfId="2" applyFont="1" applyAlignment="1" applyProtection="1">
      <alignment vertical="center" shrinkToFit="1"/>
      <protection locked="0"/>
    </xf>
    <xf numFmtId="0" fontId="17" fillId="0" borderId="0" xfId="2" applyFont="1" applyAlignment="1" applyProtection="1">
      <alignment vertical="center" wrapText="1"/>
      <protection locked="0"/>
    </xf>
    <xf numFmtId="0" fontId="2" fillId="0" borderId="0" xfId="0" applyFont="1" applyAlignment="1" applyProtection="1">
      <alignment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2" xfId="0" applyFont="1" applyBorder="1" applyAlignment="1">
      <alignment horizontal="distributed" vertical="center"/>
    </xf>
    <xf numFmtId="177" fontId="3" fillId="0" borderId="0" xfId="0" applyNumberFormat="1" applyFont="1" applyAlignment="1">
      <alignment horizontal="right" vertical="center"/>
    </xf>
    <xf numFmtId="0" fontId="3" fillId="0" borderId="3"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38" fontId="3" fillId="0" borderId="4" xfId="1" applyFont="1" applyBorder="1" applyAlignment="1" applyProtection="1">
      <alignment horizontal="center" vertical="center" shrinkToFit="1"/>
      <protection locked="0"/>
    </xf>
    <xf numFmtId="38" fontId="0" fillId="0" borderId="4" xfId="1" applyFont="1" applyBorder="1" applyAlignment="1" applyProtection="1">
      <alignment horizontal="center" vertical="center" shrinkToFit="1"/>
      <protection locked="0"/>
    </xf>
    <xf numFmtId="38" fontId="3" fillId="0" borderId="3" xfId="1" applyFont="1" applyBorder="1" applyAlignment="1" applyProtection="1">
      <alignment horizontal="center" vertical="center" shrinkToFit="1"/>
      <protection locked="0"/>
    </xf>
    <xf numFmtId="38" fontId="3" fillId="0" borderId="15" xfId="1" applyFont="1" applyBorder="1" applyAlignment="1" applyProtection="1">
      <alignment horizontal="center" vertical="center" shrinkToFit="1"/>
      <protection locked="0"/>
    </xf>
    <xf numFmtId="38" fontId="0" fillId="0" borderId="15" xfId="1" applyFont="1" applyBorder="1" applyAlignment="1" applyProtection="1">
      <alignment horizontal="center" vertical="center" shrinkToFit="1"/>
      <protection locked="0"/>
    </xf>
    <xf numFmtId="38" fontId="3" fillId="0" borderId="13" xfId="1" applyFont="1" applyBorder="1" applyAlignment="1" applyProtection="1">
      <alignment horizontal="center" vertical="center" shrinkToFit="1"/>
      <protection locked="0"/>
    </xf>
    <xf numFmtId="0" fontId="0" fillId="0" borderId="0" xfId="0" applyAlignment="1">
      <alignment horizontal="center" vertical="center"/>
    </xf>
    <xf numFmtId="0" fontId="3" fillId="0" borderId="70" xfId="0" applyFont="1" applyBorder="1" applyAlignment="1">
      <alignment vertical="center" shrinkToFit="1"/>
    </xf>
    <xf numFmtId="0" fontId="0" fillId="0" borderId="70" xfId="0" applyBorder="1" applyAlignment="1">
      <alignment vertical="center" shrinkToFit="1"/>
    </xf>
    <xf numFmtId="38" fontId="3" fillId="0" borderId="26" xfId="1" applyFont="1" applyBorder="1" applyAlignment="1" applyProtection="1">
      <alignment horizontal="center" vertical="center" shrinkToFit="1"/>
      <protection locked="0"/>
    </xf>
    <xf numFmtId="38" fontId="0" fillId="0" borderId="22" xfId="1" applyFont="1" applyBorder="1" applyAlignment="1" applyProtection="1">
      <alignment horizontal="center" vertical="center" shrinkToFit="1"/>
      <protection locked="0"/>
    </xf>
    <xf numFmtId="38" fontId="3" fillId="0" borderId="22" xfId="1" applyFont="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Border="1" applyAlignment="1">
      <alignment horizontal="center" vertical="center"/>
    </xf>
    <xf numFmtId="0" fontId="6"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 fillId="0" borderId="46" xfId="0" applyFont="1" applyBorder="1">
      <alignment vertical="center"/>
    </xf>
    <xf numFmtId="0" fontId="2" fillId="0" borderId="0" xfId="0" applyFont="1">
      <alignment vertical="center"/>
    </xf>
    <xf numFmtId="0" fontId="2" fillId="0" borderId="47" xfId="0" applyFont="1" applyBorder="1">
      <alignment vertical="center"/>
    </xf>
    <xf numFmtId="0" fontId="3" fillId="0" borderId="20" xfId="0" applyFont="1" applyBorder="1" applyAlignment="1">
      <alignment horizontal="left" vertical="center" indent="1" shrinkToFit="1"/>
    </xf>
    <xf numFmtId="0" fontId="0" fillId="0" borderId="20" xfId="0" applyBorder="1" applyAlignment="1">
      <alignment horizontal="left" vertical="center" indent="1" shrinkToFit="1"/>
    </xf>
    <xf numFmtId="179" fontId="3" fillId="0" borderId="20" xfId="0" applyNumberFormat="1" applyFont="1" applyBorder="1" applyAlignment="1">
      <alignment horizontal="left" vertical="center" indent="1" shrinkToFit="1"/>
    </xf>
    <xf numFmtId="179" fontId="0" fillId="0" borderId="20" xfId="0" applyNumberFormat="1" applyBorder="1" applyAlignment="1">
      <alignment horizontal="left" vertical="center" indent="1"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6" fillId="0" borderId="20" xfId="0" applyFont="1" applyBorder="1" applyAlignment="1">
      <alignment horizontal="distributed" vertical="center" shrinkToFit="1"/>
    </xf>
    <xf numFmtId="0" fontId="0" fillId="0" borderId="20" xfId="0" applyBorder="1" applyAlignment="1">
      <alignment horizontal="distributed" vertical="center" shrinkToFit="1"/>
    </xf>
    <xf numFmtId="177" fontId="3" fillId="0" borderId="20" xfId="0" applyNumberFormat="1" applyFont="1" applyBorder="1" applyAlignment="1">
      <alignment horizontal="left" vertical="center" indent="1" shrinkToFit="1"/>
    </xf>
    <xf numFmtId="177" fontId="0" fillId="0" borderId="20" xfId="0" applyNumberFormat="1" applyBorder="1" applyAlignment="1">
      <alignment horizontal="left" vertical="center" indent="1" shrinkToFit="1"/>
    </xf>
    <xf numFmtId="0" fontId="3" fillId="0" borderId="0" xfId="0" applyFont="1" applyAlignment="1">
      <alignment vertical="center" wrapText="1"/>
    </xf>
    <xf numFmtId="0" fontId="0" fillId="0" borderId="0" xfId="0">
      <alignment vertical="center"/>
    </xf>
    <xf numFmtId="0" fontId="0" fillId="0" borderId="6" xfId="0" applyBorder="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vertical="center" shrinkToFit="1"/>
    </xf>
    <xf numFmtId="0" fontId="3" fillId="0" borderId="2" xfId="0" applyFont="1" applyBorder="1">
      <alignment vertical="center"/>
    </xf>
    <xf numFmtId="0" fontId="3" fillId="0" borderId="3"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vertical="center" shrinkToFit="1"/>
    </xf>
    <xf numFmtId="0" fontId="3" fillId="0" borderId="1" xfId="0" applyFont="1" applyBorder="1" applyAlignment="1">
      <alignment horizontal="center" vertical="center" wrapText="1"/>
    </xf>
    <xf numFmtId="0" fontId="0" fillId="0" borderId="3" xfId="0" applyBorder="1">
      <alignment vertical="center"/>
    </xf>
    <xf numFmtId="38" fontId="3" fillId="0" borderId="1" xfId="1" applyFont="1" applyBorder="1" applyAlignment="1">
      <alignment horizontal="center" vertical="center"/>
    </xf>
    <xf numFmtId="0" fontId="0" fillId="0" borderId="3" xfId="0" applyBorder="1" applyAlignment="1">
      <alignment vertical="center" shrinkToFit="1"/>
    </xf>
    <xf numFmtId="0" fontId="3" fillId="0" borderId="64" xfId="0" applyFont="1" applyBorder="1">
      <alignment vertical="center"/>
    </xf>
    <xf numFmtId="0" fontId="0" fillId="0" borderId="65" xfId="0" applyBorder="1">
      <alignment vertical="center"/>
    </xf>
    <xf numFmtId="0" fontId="3" fillId="0" borderId="0" xfId="0" applyFont="1" applyAlignment="1">
      <alignment horizontal="right" vertical="center" shrinkToFit="1"/>
    </xf>
    <xf numFmtId="0" fontId="6" fillId="0" borderId="0" xfId="0" applyFont="1" applyAlignment="1">
      <alignment vertical="center" shrinkToFit="1"/>
    </xf>
    <xf numFmtId="176" fontId="3" fillId="0" borderId="1"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176" fontId="3" fillId="0" borderId="8" xfId="0" applyNumberFormat="1" applyFont="1" applyBorder="1">
      <alignment vertical="center"/>
    </xf>
    <xf numFmtId="176" fontId="3" fillId="0" borderId="9" xfId="0" applyNumberFormat="1" applyFont="1" applyBorder="1">
      <alignment vertical="center"/>
    </xf>
    <xf numFmtId="176" fontId="3" fillId="0" borderId="10" xfId="0" applyNumberFormat="1" applyFont="1" applyBorder="1">
      <alignment vertical="center"/>
    </xf>
    <xf numFmtId="0" fontId="5" fillId="0" borderId="0" xfId="0" applyFont="1" applyAlignment="1">
      <alignment horizontal="center" vertical="center"/>
    </xf>
    <xf numFmtId="0" fontId="3" fillId="0" borderId="0" xfId="0" applyFont="1" applyAlignment="1">
      <alignment shrinkToFit="1"/>
    </xf>
    <xf numFmtId="0" fontId="0" fillId="0" borderId="0" xfId="0" applyAlignment="1">
      <alignment shrinkToFit="1"/>
    </xf>
    <xf numFmtId="0" fontId="3" fillId="0" borderId="0" xfId="0" applyFont="1" applyAlignment="1">
      <alignment vertical="top" shrinkToFit="1"/>
    </xf>
    <xf numFmtId="0" fontId="0" fillId="0" borderId="0" xfId="0" applyAlignment="1">
      <alignment vertical="top" shrinkToFit="1"/>
    </xf>
    <xf numFmtId="176" fontId="3" fillId="0" borderId="14" xfId="0" applyNumberFormat="1" applyFont="1" applyBorder="1">
      <alignment vertical="center"/>
    </xf>
    <xf numFmtId="176" fontId="3" fillId="0" borderId="12" xfId="0" applyNumberFormat="1" applyFont="1" applyBorder="1">
      <alignment vertical="center"/>
    </xf>
    <xf numFmtId="176" fontId="3" fillId="0" borderId="13" xfId="0" applyNumberFormat="1" applyFont="1" applyBorder="1">
      <alignment vertical="center"/>
    </xf>
    <xf numFmtId="0" fontId="2" fillId="0" borderId="0" xfId="0" applyFont="1" applyAlignment="1">
      <alignment horizontal="right" vertical="center" shrinkToFit="1"/>
    </xf>
    <xf numFmtId="0" fontId="20" fillId="0" borderId="61" xfId="0" applyFont="1" applyBorder="1" applyAlignment="1">
      <alignment horizontal="center" vertical="center"/>
    </xf>
    <xf numFmtId="0" fontId="0" fillId="0" borderId="62" xfId="0" applyBorder="1">
      <alignment vertical="center"/>
    </xf>
    <xf numFmtId="0" fontId="3" fillId="0" borderId="61" xfId="0" applyFont="1" applyBorder="1" applyAlignment="1">
      <alignment horizontal="center" vertical="center" wrapText="1"/>
    </xf>
    <xf numFmtId="0" fontId="3" fillId="0" borderId="60" xfId="0" applyFont="1" applyBorder="1" applyAlignment="1">
      <alignment horizontal="center" vertical="center"/>
    </xf>
    <xf numFmtId="0" fontId="0" fillId="0" borderId="60" xfId="0" applyBorder="1" applyAlignment="1">
      <alignment horizontal="center" vertical="center"/>
    </xf>
    <xf numFmtId="0" fontId="0" fillId="0" borderId="30" xfId="0" applyBorder="1" applyAlignment="1">
      <alignment horizontal="center" vertical="center"/>
    </xf>
    <xf numFmtId="0" fontId="6" fillId="0" borderId="49" xfId="0" applyFont="1" applyBorder="1">
      <alignment vertical="center"/>
    </xf>
    <xf numFmtId="0" fontId="21" fillId="0" borderId="49" xfId="0" applyFont="1" applyBorder="1">
      <alignment vertical="center"/>
    </xf>
    <xf numFmtId="0" fontId="3" fillId="0" borderId="9" xfId="0" applyFont="1" applyBorder="1" applyAlignment="1">
      <alignment vertical="center" shrinkToFit="1"/>
    </xf>
    <xf numFmtId="0" fontId="0" fillId="0" borderId="9" xfId="0" applyBorder="1" applyAlignment="1">
      <alignment vertical="center" shrinkToFit="1"/>
    </xf>
    <xf numFmtId="0" fontId="0" fillId="0" borderId="0" xfId="0" applyAlignment="1">
      <alignment vertical="center" wrapText="1"/>
    </xf>
    <xf numFmtId="0" fontId="3" fillId="0" borderId="0" xfId="0" applyFont="1">
      <alignment vertical="center"/>
    </xf>
    <xf numFmtId="0" fontId="2" fillId="0" borderId="0" xfId="0" applyFont="1" applyAlignment="1">
      <alignment vertical="center" shrinkToFit="1"/>
    </xf>
    <xf numFmtId="176" fontId="3" fillId="0" borderId="4" xfId="0" applyNumberFormat="1" applyFont="1" applyBorder="1" applyAlignment="1" applyProtection="1">
      <alignment vertical="center" shrinkToFit="1"/>
      <protection locked="0"/>
    </xf>
    <xf numFmtId="0" fontId="3" fillId="0" borderId="4" xfId="0" applyFont="1" applyBorder="1" applyAlignment="1" applyProtection="1">
      <alignment horizontal="center" vertical="center"/>
      <protection locked="0"/>
    </xf>
    <xf numFmtId="0" fontId="3" fillId="0" borderId="11" xfId="0" applyFont="1" applyBorder="1" applyAlignment="1">
      <alignment vertical="center" shrinkToFit="1"/>
    </xf>
    <xf numFmtId="0" fontId="0" fillId="0" borderId="6" xfId="0" applyBorder="1" applyAlignment="1">
      <alignment vertical="center" shrinkToFit="1"/>
    </xf>
    <xf numFmtId="0" fontId="3" fillId="0" borderId="11" xfId="0" applyFont="1" applyBorder="1" applyAlignment="1">
      <alignment vertical="top" shrinkToFit="1"/>
    </xf>
    <xf numFmtId="0" fontId="0" fillId="0" borderId="13" xfId="0" applyBorder="1" applyAlignment="1">
      <alignment vertical="center" shrinkToFit="1"/>
    </xf>
    <xf numFmtId="0" fontId="3" fillId="0" borderId="7" xfId="0" applyFont="1" applyBorder="1" applyAlignment="1">
      <alignment horizontal="center" vertical="center"/>
    </xf>
    <xf numFmtId="0" fontId="3" fillId="0" borderId="15" xfId="0" applyFont="1" applyBorder="1" applyAlignment="1">
      <alignment horizontal="center" vertical="center"/>
    </xf>
    <xf numFmtId="182" fontId="3" fillId="0" borderId="4" xfId="0" applyNumberFormat="1"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protection locked="0"/>
    </xf>
    <xf numFmtId="176" fontId="3" fillId="0" borderId="3" xfId="0" applyNumberFormat="1" applyFont="1" applyBorder="1" applyAlignment="1" applyProtection="1">
      <alignment vertical="center" shrinkToFit="1"/>
      <protection locked="0"/>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176" fontId="3" fillId="0" borderId="1"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lignment vertical="center"/>
    </xf>
    <xf numFmtId="176" fontId="3" fillId="0" borderId="4" xfId="0" applyNumberFormat="1"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6" xfId="0" applyFont="1" applyBorder="1" applyAlignment="1">
      <alignment vertical="center" shrinkToFit="1"/>
    </xf>
    <xf numFmtId="0" fontId="3" fillId="0" borderId="4" xfId="0" applyFont="1" applyBorder="1" applyAlignment="1" applyProtection="1">
      <alignment vertical="center" shrinkToFit="1"/>
      <protection locked="0"/>
    </xf>
    <xf numFmtId="0" fontId="3" fillId="0" borderId="12" xfId="0" applyFont="1" applyBorder="1">
      <alignment vertical="center"/>
    </xf>
    <xf numFmtId="0" fontId="0" fillId="0" borderId="0" xfId="0" applyAlignment="1">
      <alignment horizontal="right" vertical="center" shrinkToFit="1"/>
    </xf>
    <xf numFmtId="0" fontId="3" fillId="0" borderId="1" xfId="0" applyFont="1" applyBorder="1">
      <alignment vertical="center"/>
    </xf>
    <xf numFmtId="0" fontId="3" fillId="0" borderId="9" xfId="0" applyFont="1" applyBorder="1">
      <alignment vertical="center"/>
    </xf>
    <xf numFmtId="176" fontId="3" fillId="0" borderId="8" xfId="0" applyNumberFormat="1" applyFont="1" applyBorder="1" applyAlignment="1">
      <alignment shrinkToFit="1"/>
    </xf>
    <xf numFmtId="176" fontId="3" fillId="0" borderId="9" xfId="0" applyNumberFormat="1" applyFont="1" applyBorder="1" applyAlignment="1">
      <alignment shrinkToFit="1"/>
    </xf>
    <xf numFmtId="176" fontId="3" fillId="0" borderId="10" xfId="0" applyNumberFormat="1" applyFont="1" applyBorder="1" applyAlignment="1">
      <alignment shrinkToFit="1"/>
    </xf>
    <xf numFmtId="176" fontId="3" fillId="0" borderId="14" xfId="0" applyNumberFormat="1" applyFont="1" applyBorder="1" applyAlignment="1">
      <alignment vertical="top" shrinkToFit="1"/>
    </xf>
    <xf numFmtId="176" fontId="3" fillId="0" borderId="12" xfId="0" applyNumberFormat="1" applyFont="1" applyBorder="1" applyAlignment="1">
      <alignment vertical="top" shrinkToFit="1"/>
    </xf>
    <xf numFmtId="176" fontId="3" fillId="0" borderId="13" xfId="0" applyNumberFormat="1" applyFont="1" applyBorder="1" applyAlignment="1">
      <alignment vertical="top" shrinkToFit="1"/>
    </xf>
    <xf numFmtId="0" fontId="3" fillId="0" borderId="0" xfId="0" applyFont="1" applyAlignment="1">
      <alignment horizontal="right" vertical="center"/>
    </xf>
    <xf numFmtId="0" fontId="3" fillId="0" borderId="16" xfId="0" applyFont="1" applyBorder="1" applyAlignment="1">
      <alignment horizontal="center" vertical="center"/>
    </xf>
    <xf numFmtId="176" fontId="3" fillId="0" borderId="8" xfId="0" applyNumberFormat="1" applyFont="1" applyBorder="1" applyAlignment="1"/>
    <xf numFmtId="176" fontId="3" fillId="0" borderId="9" xfId="0" applyNumberFormat="1" applyFont="1" applyBorder="1" applyAlignment="1"/>
    <xf numFmtId="176" fontId="3" fillId="0" borderId="10" xfId="0" applyNumberFormat="1" applyFont="1" applyBorder="1" applyAlignment="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176" fontId="3" fillId="0" borderId="14" xfId="0" applyNumberFormat="1" applyFont="1" applyBorder="1" applyAlignment="1">
      <alignment vertical="top"/>
    </xf>
    <xf numFmtId="176" fontId="3" fillId="0" borderId="12" xfId="0" applyNumberFormat="1" applyFont="1" applyBorder="1" applyAlignment="1">
      <alignment vertical="top"/>
    </xf>
    <xf numFmtId="176" fontId="3" fillId="0" borderId="13" xfId="0" applyNumberFormat="1" applyFont="1" applyBorder="1" applyAlignment="1">
      <alignment vertical="top"/>
    </xf>
    <xf numFmtId="0" fontId="3" fillId="0" borderId="15" xfId="0" applyFont="1" applyBorder="1" applyAlignment="1">
      <alignment horizontal="center" vertical="top"/>
    </xf>
    <xf numFmtId="0" fontId="3" fillId="0" borderId="7" xfId="0" applyFont="1" applyBorder="1" applyAlignment="1">
      <alignment horizontal="center"/>
    </xf>
    <xf numFmtId="0" fontId="3" fillId="0" borderId="17" xfId="0" applyFont="1" applyBorder="1" applyAlignment="1">
      <alignment vertical="center" wrapText="1"/>
    </xf>
    <xf numFmtId="0" fontId="3" fillId="0" borderId="17" xfId="0" applyFont="1" applyBorder="1">
      <alignment vertical="center"/>
    </xf>
    <xf numFmtId="0" fontId="3" fillId="0" borderId="19" xfId="0" applyFont="1" applyBorder="1" applyAlignment="1">
      <alignment vertical="center" wrapText="1"/>
    </xf>
    <xf numFmtId="0" fontId="3" fillId="0" borderId="19" xfId="0" applyFont="1" applyBorder="1">
      <alignment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xf numFmtId="0" fontId="3" fillId="0" borderId="10" xfId="0" applyFont="1" applyBorder="1" applyAlignment="1"/>
    <xf numFmtId="0" fontId="3" fillId="0" borderId="14"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3"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pplyAlignment="1">
      <alignment horizontal="center" vertical="center"/>
    </xf>
    <xf numFmtId="0" fontId="7" fillId="0" borderId="9" xfId="0" applyFont="1" applyBorder="1" applyAlignment="1">
      <alignment vertical="center" shrinkToFit="1"/>
    </xf>
    <xf numFmtId="0" fontId="7" fillId="0" borderId="0" xfId="0" applyFont="1" applyAlignment="1">
      <alignment vertical="center" shrinkToFit="1"/>
    </xf>
    <xf numFmtId="176" fontId="0" fillId="0" borderId="4" xfId="0" applyNumberFormat="1" applyBorder="1" applyAlignment="1" applyProtection="1">
      <alignment vertical="center" shrinkToFit="1"/>
      <protection locked="0"/>
    </xf>
    <xf numFmtId="49" fontId="3" fillId="0" borderId="4" xfId="0" applyNumberFormat="1" applyFon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1" xfId="0" applyNumberFormat="1" applyBorder="1" applyAlignment="1" applyProtection="1">
      <alignment vertical="center" shrinkToFit="1"/>
      <protection locked="0"/>
    </xf>
    <xf numFmtId="176" fontId="0" fillId="0" borderId="2" xfId="0" applyNumberFormat="1" applyBorder="1" applyAlignment="1" applyProtection="1">
      <alignment vertical="center" shrinkToFit="1"/>
      <protection locked="0"/>
    </xf>
    <xf numFmtId="176" fontId="0" fillId="0" borderId="3" xfId="0" applyNumberForma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wrapText="1" shrinkToFit="1"/>
      <protection locked="0"/>
    </xf>
    <xf numFmtId="49" fontId="2" fillId="0" borderId="1" xfId="0" quotePrefix="1" applyNumberFormat="1" applyFont="1"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172">
    <dxf>
      <fill>
        <patternFill>
          <bgColor rgb="FFFFFFCC"/>
        </patternFill>
      </fill>
    </dxf>
    <dxf>
      <fill>
        <patternFill>
          <bgColor theme="5" tint="0.79998168889431442"/>
        </patternFill>
      </fill>
    </dxf>
    <dxf>
      <fill>
        <patternFill>
          <bgColor rgb="FFFF0000"/>
        </patternFill>
      </fill>
    </dxf>
    <dxf>
      <fill>
        <patternFill>
          <bgColor rgb="FF92D05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ont>
        <b/>
        <i/>
        <color rgb="FFFF0000"/>
      </font>
      <fill>
        <patternFill>
          <bgColor theme="5" tint="0.79998168889431442"/>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theme="7" tint="0.79998168889431442"/>
        </patternFill>
      </fill>
    </dxf>
    <dxf>
      <fill>
        <patternFill>
          <bgColor theme="5" tint="0.79998168889431442"/>
        </patternFill>
      </fill>
    </dxf>
    <dxf>
      <fill>
        <patternFill>
          <bgColor rgb="FFFFFFCC"/>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ont>
        <b/>
        <i/>
        <color rgb="FFFF0000"/>
      </font>
      <fill>
        <patternFill>
          <bgColor theme="5" tint="0.79998168889431442"/>
        </patternFill>
      </fill>
    </dxf>
    <dxf>
      <fill>
        <patternFill>
          <bgColor rgb="FFFF0000"/>
        </patternFill>
      </fill>
    </dxf>
    <dxf>
      <font>
        <b/>
        <i/>
        <color rgb="FFFF0000"/>
      </font>
      <fill>
        <patternFill>
          <bgColor theme="5" tint="0.79998168889431442"/>
        </patternFill>
      </fill>
    </dxf>
    <dxf>
      <font>
        <b/>
        <i/>
        <color rgb="FFFF0000"/>
      </font>
      <fill>
        <patternFill>
          <bgColor theme="5" tint="0.79998168889431442"/>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theme="7"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rgb="FF92D050"/>
        </patternFill>
      </fill>
    </dxf>
    <dxf>
      <fill>
        <patternFill>
          <bgColor rgb="FFFF0000"/>
        </patternFill>
      </fill>
    </dxf>
    <dxf>
      <fill>
        <patternFill>
          <bgColor rgb="FFFFFFCC"/>
        </patternFill>
      </fill>
    </dxf>
    <dxf>
      <fill>
        <patternFill>
          <bgColor theme="5" tint="0.79998168889431442"/>
        </patternFill>
      </fill>
    </dxf>
    <dxf>
      <fill>
        <patternFill>
          <bgColor theme="0" tint="-0.34998626667073579"/>
        </patternFill>
      </fill>
    </dxf>
    <dxf>
      <fill>
        <patternFill>
          <bgColor theme="7" tint="0.79998168889431442"/>
        </patternFill>
      </fill>
    </dxf>
    <dxf>
      <font>
        <color theme="0" tint="-0.24994659260841701"/>
      </font>
    </dxf>
    <dxf>
      <fill>
        <patternFill>
          <bgColor rgb="FF92D050"/>
        </patternFill>
      </fill>
    </dxf>
    <dxf>
      <fill>
        <patternFill>
          <bgColor rgb="FFFFFF00"/>
        </patternFill>
      </fill>
    </dxf>
    <dxf>
      <fill>
        <patternFill>
          <bgColor rgb="FFFF0000"/>
        </patternFill>
      </fill>
    </dxf>
    <dxf>
      <fill>
        <patternFill>
          <bgColor theme="0" tint="-0.34998626667073579"/>
        </patternFill>
      </fill>
    </dxf>
    <dxf>
      <fill>
        <patternFill>
          <bgColor theme="7" tint="0.79998168889431442"/>
        </patternFill>
      </fill>
    </dxf>
    <dxf>
      <font>
        <color theme="0" tint="-0.24994659260841701"/>
      </font>
    </dxf>
    <dxf>
      <fill>
        <patternFill>
          <bgColor rgb="FFFFFFCC"/>
        </patternFill>
      </fill>
    </dxf>
    <dxf>
      <fill>
        <patternFill>
          <bgColor theme="5" tint="0.79998168889431442"/>
        </patternFill>
      </fill>
    </dxf>
    <dxf>
      <fill>
        <patternFill>
          <bgColor rgb="FFFF0000"/>
        </patternFill>
      </fill>
    </dxf>
    <dxf>
      <fill>
        <patternFill>
          <bgColor rgb="FFFFFF00"/>
        </patternFill>
      </fill>
    </dxf>
    <dxf>
      <font>
        <color theme="0" tint="-0.24994659260841701"/>
      </font>
    </dxf>
    <dxf>
      <font>
        <color theme="0" tint="-0.24994659260841701"/>
      </font>
    </dxf>
    <dxf>
      <fill>
        <patternFill>
          <bgColor rgb="FFFFFFCC"/>
        </patternFill>
      </fill>
    </dxf>
    <dxf>
      <fill>
        <patternFill>
          <bgColor theme="5" tint="0.79998168889431442"/>
        </patternFill>
      </fill>
    </dxf>
    <dxf>
      <fill>
        <patternFill>
          <bgColor rgb="FFFF0000"/>
        </patternFill>
      </fill>
    </dxf>
    <dxf>
      <fill>
        <patternFill>
          <bgColor rgb="FFFFFFCC"/>
        </patternFill>
      </fill>
    </dxf>
    <dxf>
      <fill>
        <patternFill>
          <bgColor theme="5" tint="0.79998168889431442"/>
        </patternFill>
      </fill>
    </dxf>
    <dxf>
      <font>
        <color theme="1"/>
      </font>
      <fill>
        <patternFill>
          <bgColor rgb="FFFF0000"/>
        </patternFill>
      </fill>
    </dxf>
    <dxf>
      <fill>
        <patternFill>
          <bgColor rgb="FFFFFFCC"/>
        </patternFill>
      </fill>
    </dxf>
    <dxf>
      <fill>
        <patternFill>
          <bgColor rgb="FFFF0000"/>
        </patternFill>
      </fill>
    </dxf>
    <dxf>
      <fill>
        <patternFill>
          <bgColor theme="7" tint="0.79998168889431442"/>
        </patternFill>
      </fill>
    </dxf>
    <dxf>
      <fill>
        <patternFill>
          <bgColor theme="5" tint="0.79998168889431442"/>
        </patternFill>
      </fill>
    </dxf>
    <dxf>
      <fill>
        <patternFill>
          <bgColor rgb="FFFFFFCC"/>
        </patternFill>
      </fill>
    </dxf>
    <dxf>
      <fill>
        <patternFill>
          <bgColor rgb="FFFF0000"/>
        </patternFill>
      </fill>
    </dxf>
    <dxf>
      <fill>
        <patternFill>
          <bgColor rgb="FFFF000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fill>
        <patternFill patternType="none">
          <bgColor auto="1"/>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ill>
        <patternFill>
          <bgColor theme="5" tint="0.79998168889431442"/>
        </patternFill>
      </fill>
    </dxf>
    <dxf>
      <font>
        <color theme="0" tint="-0.24994659260841701"/>
      </font>
    </dxf>
    <dxf>
      <font>
        <color theme="0" tint="-0.24994659260841701"/>
      </font>
    </dxf>
    <dxf>
      <font>
        <color theme="0" tint="-0.24994659260841701"/>
      </font>
    </dxf>
    <dxf>
      <font>
        <color rgb="FFFF0000"/>
      </font>
    </dxf>
    <dxf>
      <font>
        <color theme="0" tint="-0.24994659260841701"/>
      </font>
    </dxf>
    <dxf>
      <font>
        <b/>
        <i/>
        <color rgb="FFFF0000"/>
      </font>
      <fill>
        <patternFill>
          <bgColor theme="5" tint="0.79998168889431442"/>
        </patternFill>
      </fill>
    </dxf>
    <dxf>
      <font>
        <color theme="0" tint="-0.24994659260841701"/>
      </font>
    </dxf>
    <dxf>
      <font>
        <b/>
        <i/>
        <color rgb="FFFF0000"/>
      </font>
      <fill>
        <patternFill>
          <bgColor theme="5" tint="0.79998168889431442"/>
        </patternFill>
      </fill>
    </dxf>
    <dxf>
      <font>
        <color theme="0" tint="-0.24994659260841701"/>
      </font>
    </dxf>
    <dxf>
      <font>
        <color theme="0" tint="-0.24994659260841701"/>
      </font>
    </dxf>
    <dxf>
      <font>
        <b/>
        <i/>
        <color rgb="FFFF0000"/>
      </font>
      <fill>
        <patternFill>
          <bgColor theme="5" tint="0.79998168889431442"/>
        </patternFill>
      </fill>
    </dxf>
    <dxf>
      <font>
        <b/>
        <i/>
        <color rgb="FFFF0000"/>
      </font>
      <fill>
        <patternFill patternType="solid">
          <bgColor theme="5"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strike/>
        <color theme="0" tint="-0.24994659260841701"/>
      </font>
      <fill>
        <patternFill>
          <bgColor theme="0" tint="-0.34998626667073579"/>
        </patternFill>
      </fill>
    </dxf>
    <dxf>
      <fill>
        <patternFill>
          <bgColor theme="0" tint="-0.34998626667073579"/>
        </patternFill>
      </fill>
    </dxf>
    <dxf>
      <fill>
        <patternFill>
          <bgColor theme="0" tint="-0.34998626667073579"/>
        </patternFill>
      </fill>
    </dxf>
    <dxf>
      <font>
        <strike/>
      </font>
      <fill>
        <patternFill>
          <bgColor theme="0" tint="-0.34998626667073579"/>
        </patternFill>
      </fill>
    </dxf>
    <dxf>
      <font>
        <strike/>
        <color theme="0" tint="-0.24994659260841701"/>
      </font>
    </dxf>
    <dxf>
      <font>
        <strike val="0"/>
      </font>
      <fill>
        <patternFill>
          <bgColor theme="0" tint="-0.34998626667073579"/>
        </patternFill>
      </fill>
    </dxf>
    <dxf>
      <font>
        <strike/>
        <color theme="0" tint="-0.24994659260841701"/>
      </font>
      <fill>
        <patternFill>
          <bgColor theme="0" tint="-0.34998626667073579"/>
        </patternFill>
      </fill>
    </dxf>
    <dxf>
      <fill>
        <patternFill>
          <bgColor theme="0" tint="-0.34998626667073579"/>
        </patternFill>
      </fill>
    </dxf>
    <dxf>
      <font>
        <strike/>
      </font>
      <fill>
        <patternFill>
          <bgColor theme="0" tint="-0.34998626667073579"/>
        </patternFill>
      </fill>
    </dxf>
    <dxf>
      <fill>
        <patternFill>
          <bgColor theme="0" tint="-0.34998626667073579"/>
        </patternFill>
      </fill>
    </dxf>
    <dxf>
      <font>
        <b/>
        <i/>
        <color rgb="FFFF0000"/>
      </font>
      <fill>
        <patternFill>
          <bgColor theme="5" tint="0.79998168889431442"/>
        </patternFill>
      </fill>
    </dxf>
    <dxf>
      <fill>
        <patternFill>
          <bgColor theme="0" tint="-0.34998626667073579"/>
        </patternFill>
      </fill>
    </dxf>
    <dxf>
      <font>
        <strike/>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strike/>
      </font>
      <fill>
        <patternFill>
          <bgColor theme="0" tint="-0.34998626667073579"/>
        </patternFill>
      </fill>
    </dxf>
    <dxf>
      <fill>
        <patternFill patternType="solid">
          <bgColor theme="7" tint="0.79998168889431442"/>
        </patternFill>
      </fill>
    </dxf>
  </dxfs>
  <tableStyles count="0" defaultTableStyle="TableStyleMedium2" defaultPivotStyle="PivotStyleLight16"/>
  <colors>
    <mruColors>
      <color rgb="FFFFFFCC"/>
      <color rgb="FFCC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0837;&#21147;!B2"/></Relationships>
</file>

<file path=xl/drawings/_rels/drawing10.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1.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1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7.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8.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_rels/drawing9.xml.rels><?xml version="1.0" encoding="UTF-8" standalone="yes"?>
<Relationships xmlns="http://schemas.openxmlformats.org/package/2006/relationships"><Relationship Id="rId2" Type="http://schemas.openxmlformats.org/officeDocument/2006/relationships/hyperlink" Target="#&#24517;&#35201;&#26360;&#39006;!A1"/><Relationship Id="rId1" Type="http://schemas.openxmlformats.org/officeDocument/2006/relationships/hyperlink" Target="#&#20837;&#21147;!B2"/></Relationships>
</file>

<file path=xl/drawings/drawing1.xml><?xml version="1.0" encoding="utf-8"?>
<xdr:wsDr xmlns:xdr="http://schemas.openxmlformats.org/drawingml/2006/spreadsheetDrawing" xmlns:a="http://schemas.openxmlformats.org/drawingml/2006/main">
  <xdr:twoCellAnchor>
    <xdr:from>
      <xdr:col>39</xdr:col>
      <xdr:colOff>44450</xdr:colOff>
      <xdr:row>0</xdr:row>
      <xdr:rowOff>50800</xdr:rowOff>
    </xdr:from>
    <xdr:to>
      <xdr:col>39</xdr:col>
      <xdr:colOff>596900</xdr:colOff>
      <xdr:row>1</xdr:row>
      <xdr:rowOff>175850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57785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42</xdr:col>
      <xdr:colOff>38100</xdr:colOff>
      <xdr:row>0</xdr:row>
      <xdr:rowOff>38100</xdr:rowOff>
    </xdr:from>
    <xdr:to>
      <xdr:col>42</xdr:col>
      <xdr:colOff>590550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67373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177800</xdr:rowOff>
    </xdr:from>
    <xdr:to>
      <xdr:col>43</xdr:col>
      <xdr:colOff>266700</xdr:colOff>
      <xdr:row>3</xdr:row>
      <xdr:rowOff>67900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67373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42</xdr:col>
      <xdr:colOff>38100</xdr:colOff>
      <xdr:row>0</xdr:row>
      <xdr:rowOff>50800</xdr:rowOff>
    </xdr:from>
    <xdr:to>
      <xdr:col>42</xdr:col>
      <xdr:colOff>590550</xdr:colOff>
      <xdr:row>1</xdr:row>
      <xdr:rowOff>175850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673735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38100</xdr:colOff>
      <xdr:row>1</xdr:row>
      <xdr:rowOff>190500</xdr:rowOff>
    </xdr:from>
    <xdr:to>
      <xdr:col>43</xdr:col>
      <xdr:colOff>266700</xdr:colOff>
      <xdr:row>3</xdr:row>
      <xdr:rowOff>80600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673735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42</xdr:col>
      <xdr:colOff>31750</xdr:colOff>
      <xdr:row>0</xdr:row>
      <xdr:rowOff>50800</xdr:rowOff>
    </xdr:from>
    <xdr:to>
      <xdr:col>42</xdr:col>
      <xdr:colOff>584200</xdr:colOff>
      <xdr:row>1</xdr:row>
      <xdr:rowOff>175850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7310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190500</xdr:rowOff>
    </xdr:from>
    <xdr:to>
      <xdr:col>43</xdr:col>
      <xdr:colOff>260350</xdr:colOff>
      <xdr:row>3</xdr:row>
      <xdr:rowOff>36150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a:off x="67310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67246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E00-000006000000}"/>
            </a:ext>
          </a:extLst>
        </xdr:cNvPr>
        <xdr:cNvSpPr/>
      </xdr:nvSpPr>
      <xdr:spPr>
        <a:xfrm>
          <a:off x="67246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95250</xdr:colOff>
      <xdr:row>80</xdr:row>
      <xdr:rowOff>0</xdr:rowOff>
    </xdr:from>
    <xdr:to>
      <xdr:col>1</xdr:col>
      <xdr:colOff>101600</xdr:colOff>
      <xdr:row>83</xdr:row>
      <xdr:rowOff>76200</xdr:rowOff>
    </xdr:to>
    <xdr:cxnSp macro="">
      <xdr:nvCxnSpPr>
        <xdr:cNvPr id="3" name="直線矢印コネクタ 2">
          <a:extLst>
            <a:ext uri="{FF2B5EF4-FFF2-40B4-BE49-F238E27FC236}">
              <a16:creationId xmlns:a16="http://schemas.microsoft.com/office/drawing/2014/main" id="{00000000-0008-0000-0F00-000003000000}"/>
            </a:ext>
          </a:extLst>
        </xdr:cNvPr>
        <xdr:cNvCxnSpPr/>
      </xdr:nvCxnSpPr>
      <xdr:spPr>
        <a:xfrm flipH="1">
          <a:off x="241300" y="11747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63500</xdr:colOff>
      <xdr:row>80</xdr:row>
      <xdr:rowOff>12700</xdr:rowOff>
    </xdr:from>
    <xdr:to>
      <xdr:col>13</xdr:col>
      <xdr:colOff>69850</xdr:colOff>
      <xdr:row>83</xdr:row>
      <xdr:rowOff>88900</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a:off x="2012950" y="11874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85</xdr:row>
      <xdr:rowOff>12700</xdr:rowOff>
    </xdr:from>
    <xdr:to>
      <xdr:col>1</xdr:col>
      <xdr:colOff>95250</xdr:colOff>
      <xdr:row>89</xdr:row>
      <xdr:rowOff>88900</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flipH="1">
          <a:off x="23495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85</xdr:row>
      <xdr:rowOff>12700</xdr:rowOff>
    </xdr:from>
    <xdr:to>
      <xdr:col>13</xdr:col>
      <xdr:colOff>63500</xdr:colOff>
      <xdr:row>89</xdr:row>
      <xdr:rowOff>88900</xdr:rowOff>
    </xdr:to>
    <xdr:cxnSp macro="">
      <xdr:nvCxnSpPr>
        <xdr:cNvPr id="6" name="直線矢印コネクタ 5">
          <a:extLst>
            <a:ext uri="{FF2B5EF4-FFF2-40B4-BE49-F238E27FC236}">
              <a16:creationId xmlns:a16="http://schemas.microsoft.com/office/drawing/2014/main" id="{00000000-0008-0000-0F00-000006000000}"/>
            </a:ext>
          </a:extLst>
        </xdr:cNvPr>
        <xdr:cNvCxnSpPr/>
      </xdr:nvCxnSpPr>
      <xdr:spPr>
        <a:xfrm flipH="1">
          <a:off x="2006600" y="19653250"/>
          <a:ext cx="6350" cy="88265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92</xdr:row>
      <xdr:rowOff>19050</xdr:rowOff>
    </xdr:from>
    <xdr:to>
      <xdr:col>1</xdr:col>
      <xdr:colOff>82550</xdr:colOff>
      <xdr:row>96</xdr:row>
      <xdr:rowOff>95250</xdr:rowOff>
    </xdr:to>
    <xdr:cxnSp macro="">
      <xdr:nvCxnSpPr>
        <xdr:cNvPr id="8" name="直線矢印コネクタ 7">
          <a:extLst>
            <a:ext uri="{FF2B5EF4-FFF2-40B4-BE49-F238E27FC236}">
              <a16:creationId xmlns:a16="http://schemas.microsoft.com/office/drawing/2014/main" id="{00000000-0008-0000-0F00-000008000000}"/>
            </a:ext>
          </a:extLst>
        </xdr:cNvPr>
        <xdr:cNvCxnSpPr/>
      </xdr:nvCxnSpPr>
      <xdr:spPr>
        <a:xfrm flipH="1">
          <a:off x="2222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92</xdr:row>
      <xdr:rowOff>12700</xdr:rowOff>
    </xdr:from>
    <xdr:to>
      <xdr:col>7</xdr:col>
      <xdr:colOff>69850</xdr:colOff>
      <xdr:row>96</xdr:row>
      <xdr:rowOff>88900</xdr:rowOff>
    </xdr:to>
    <xdr:cxnSp macro="">
      <xdr:nvCxnSpPr>
        <xdr:cNvPr id="10" name="直線矢印コネクタ 9">
          <a:extLst>
            <a:ext uri="{FF2B5EF4-FFF2-40B4-BE49-F238E27FC236}">
              <a16:creationId xmlns:a16="http://schemas.microsoft.com/office/drawing/2014/main" id="{00000000-0008-0000-0F00-00000A000000}"/>
            </a:ext>
          </a:extLst>
        </xdr:cNvPr>
        <xdr:cNvCxnSpPr/>
      </xdr:nvCxnSpPr>
      <xdr:spPr>
        <a:xfrm flipH="1">
          <a:off x="990600" y="3238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92</xdr:row>
      <xdr:rowOff>19050</xdr:rowOff>
    </xdr:from>
    <xdr:to>
      <xdr:col>25</xdr:col>
      <xdr:colOff>76200</xdr:colOff>
      <xdr:row>96</xdr:row>
      <xdr:rowOff>95250</xdr:rowOff>
    </xdr:to>
    <xdr:cxnSp macro="">
      <xdr:nvCxnSpPr>
        <xdr:cNvPr id="12" name="直線矢印コネクタ 11">
          <a:extLst>
            <a:ext uri="{FF2B5EF4-FFF2-40B4-BE49-F238E27FC236}">
              <a16:creationId xmlns:a16="http://schemas.microsoft.com/office/drawing/2014/main" id="{00000000-0008-0000-0F00-00000C000000}"/>
            </a:ext>
          </a:extLst>
        </xdr:cNvPr>
        <xdr:cNvCxnSpPr/>
      </xdr:nvCxnSpPr>
      <xdr:spPr>
        <a:xfrm flipH="1">
          <a:off x="347980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98</xdr:row>
      <xdr:rowOff>19050</xdr:rowOff>
    </xdr:from>
    <xdr:to>
      <xdr:col>1</xdr:col>
      <xdr:colOff>82550</xdr:colOff>
      <xdr:row>103</xdr:row>
      <xdr:rowOff>95250</xdr:rowOff>
    </xdr:to>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H="1">
          <a:off x="2222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98</xdr:row>
      <xdr:rowOff>12700</xdr:rowOff>
    </xdr:from>
    <xdr:to>
      <xdr:col>7</xdr:col>
      <xdr:colOff>69850</xdr:colOff>
      <xdr:row>103</xdr:row>
      <xdr:rowOff>88900</xdr:rowOff>
    </xdr:to>
    <xdr:cxnSp macro="">
      <xdr:nvCxnSpPr>
        <xdr:cNvPr id="15" name="直線矢印コネクタ 14">
          <a:extLst>
            <a:ext uri="{FF2B5EF4-FFF2-40B4-BE49-F238E27FC236}">
              <a16:creationId xmlns:a16="http://schemas.microsoft.com/office/drawing/2014/main" id="{00000000-0008-0000-0F00-00000F000000}"/>
            </a:ext>
          </a:extLst>
        </xdr:cNvPr>
        <xdr:cNvCxnSpPr/>
      </xdr:nvCxnSpPr>
      <xdr:spPr>
        <a:xfrm flipH="1">
          <a:off x="1136650" y="3238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98</xdr:row>
      <xdr:rowOff>19050</xdr:rowOff>
    </xdr:from>
    <xdr:to>
      <xdr:col>25</xdr:col>
      <xdr:colOff>76200</xdr:colOff>
      <xdr:row>103</xdr:row>
      <xdr:rowOff>95250</xdr:rowOff>
    </xdr:to>
    <xdr:cxnSp macro="">
      <xdr:nvCxnSpPr>
        <xdr:cNvPr id="16" name="直線矢印コネクタ 15">
          <a:extLst>
            <a:ext uri="{FF2B5EF4-FFF2-40B4-BE49-F238E27FC236}">
              <a16:creationId xmlns:a16="http://schemas.microsoft.com/office/drawing/2014/main" id="{00000000-0008-0000-0F00-000010000000}"/>
            </a:ext>
          </a:extLst>
        </xdr:cNvPr>
        <xdr:cNvCxnSpPr/>
      </xdr:nvCxnSpPr>
      <xdr:spPr>
        <a:xfrm flipH="1">
          <a:off x="3625850" y="32448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105</xdr:row>
      <xdr:rowOff>19050</xdr:rowOff>
    </xdr:from>
    <xdr:to>
      <xdr:col>1</xdr:col>
      <xdr:colOff>82550</xdr:colOff>
      <xdr:row>110</xdr:row>
      <xdr:rowOff>95250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flipH="1">
          <a:off x="2222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105</xdr:row>
      <xdr:rowOff>12700</xdr:rowOff>
    </xdr:from>
    <xdr:to>
      <xdr:col>7</xdr:col>
      <xdr:colOff>69850</xdr:colOff>
      <xdr:row>110</xdr:row>
      <xdr:rowOff>88900</xdr:rowOff>
    </xdr:to>
    <xdr:cxnSp macro="">
      <xdr:nvCxnSpPr>
        <xdr:cNvPr id="18" name="直線矢印コネクタ 17">
          <a:extLst>
            <a:ext uri="{FF2B5EF4-FFF2-40B4-BE49-F238E27FC236}">
              <a16:creationId xmlns:a16="http://schemas.microsoft.com/office/drawing/2014/main" id="{00000000-0008-0000-0F00-000012000000}"/>
            </a:ext>
          </a:extLst>
        </xdr:cNvPr>
        <xdr:cNvCxnSpPr/>
      </xdr:nvCxnSpPr>
      <xdr:spPr>
        <a:xfrm flipH="1">
          <a:off x="1136650" y="41465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105</xdr:row>
      <xdr:rowOff>19050</xdr:rowOff>
    </xdr:from>
    <xdr:to>
      <xdr:col>25</xdr:col>
      <xdr:colOff>76200</xdr:colOff>
      <xdr:row>110</xdr:row>
      <xdr:rowOff>95250</xdr:rowOff>
    </xdr:to>
    <xdr:cxnSp macro="">
      <xdr:nvCxnSpPr>
        <xdr:cNvPr id="19" name="直線矢印コネクタ 18">
          <a:extLst>
            <a:ext uri="{FF2B5EF4-FFF2-40B4-BE49-F238E27FC236}">
              <a16:creationId xmlns:a16="http://schemas.microsoft.com/office/drawing/2014/main" id="{00000000-0008-0000-0F00-000013000000}"/>
            </a:ext>
          </a:extLst>
        </xdr:cNvPr>
        <xdr:cNvCxnSpPr/>
      </xdr:nvCxnSpPr>
      <xdr:spPr>
        <a:xfrm flipH="1">
          <a:off x="36258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112</xdr:row>
      <xdr:rowOff>19050</xdr:rowOff>
    </xdr:from>
    <xdr:to>
      <xdr:col>1</xdr:col>
      <xdr:colOff>82550</xdr:colOff>
      <xdr:row>116</xdr:row>
      <xdr:rowOff>95250</xdr:rowOff>
    </xdr:to>
    <xdr:cxnSp macro="">
      <xdr:nvCxnSpPr>
        <xdr:cNvPr id="20" name="直線矢印コネクタ 19">
          <a:extLst>
            <a:ext uri="{FF2B5EF4-FFF2-40B4-BE49-F238E27FC236}">
              <a16:creationId xmlns:a16="http://schemas.microsoft.com/office/drawing/2014/main" id="{00000000-0008-0000-0F00-000014000000}"/>
            </a:ext>
          </a:extLst>
        </xdr:cNvPr>
        <xdr:cNvCxnSpPr/>
      </xdr:nvCxnSpPr>
      <xdr:spPr>
        <a:xfrm flipH="1">
          <a:off x="222250" y="50609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112</xdr:row>
      <xdr:rowOff>12700</xdr:rowOff>
    </xdr:from>
    <xdr:to>
      <xdr:col>7</xdr:col>
      <xdr:colOff>69850</xdr:colOff>
      <xdr:row>116</xdr:row>
      <xdr:rowOff>88900</xdr:rowOff>
    </xdr:to>
    <xdr:cxnSp macro="">
      <xdr:nvCxnSpPr>
        <xdr:cNvPr id="21" name="直線矢印コネクタ 20">
          <a:extLst>
            <a:ext uri="{FF2B5EF4-FFF2-40B4-BE49-F238E27FC236}">
              <a16:creationId xmlns:a16="http://schemas.microsoft.com/office/drawing/2014/main" id="{00000000-0008-0000-0F00-000015000000}"/>
            </a:ext>
          </a:extLst>
        </xdr:cNvPr>
        <xdr:cNvCxnSpPr/>
      </xdr:nvCxnSpPr>
      <xdr:spPr>
        <a:xfrm flipH="1">
          <a:off x="1136650" y="50546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112</xdr:row>
      <xdr:rowOff>19050</xdr:rowOff>
    </xdr:from>
    <xdr:to>
      <xdr:col>25</xdr:col>
      <xdr:colOff>76200</xdr:colOff>
      <xdr:row>116</xdr:row>
      <xdr:rowOff>95250</xdr:rowOff>
    </xdr:to>
    <xdr:cxnSp macro="">
      <xdr:nvCxnSpPr>
        <xdr:cNvPr id="22" name="直線矢印コネクタ 21">
          <a:extLst>
            <a:ext uri="{FF2B5EF4-FFF2-40B4-BE49-F238E27FC236}">
              <a16:creationId xmlns:a16="http://schemas.microsoft.com/office/drawing/2014/main" id="{00000000-0008-0000-0F00-000016000000}"/>
            </a:ext>
          </a:extLst>
        </xdr:cNvPr>
        <xdr:cNvCxnSpPr/>
      </xdr:nvCxnSpPr>
      <xdr:spPr>
        <a:xfrm flipH="1">
          <a:off x="3625850" y="50609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88900</xdr:colOff>
      <xdr:row>118</xdr:row>
      <xdr:rowOff>12700</xdr:rowOff>
    </xdr:from>
    <xdr:to>
      <xdr:col>1</xdr:col>
      <xdr:colOff>95250</xdr:colOff>
      <xdr:row>121</xdr:row>
      <xdr:rowOff>88900</xdr:rowOff>
    </xdr:to>
    <xdr:cxnSp macro="">
      <xdr:nvCxnSpPr>
        <xdr:cNvPr id="26" name="直線矢印コネクタ 25">
          <a:extLst>
            <a:ext uri="{FF2B5EF4-FFF2-40B4-BE49-F238E27FC236}">
              <a16:creationId xmlns:a16="http://schemas.microsoft.com/office/drawing/2014/main" id="{00000000-0008-0000-0F00-00001A000000}"/>
            </a:ext>
          </a:extLst>
        </xdr:cNvPr>
        <xdr:cNvCxnSpPr/>
      </xdr:nvCxnSpPr>
      <xdr:spPr>
        <a:xfrm flipH="1">
          <a:off x="23495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118</xdr:row>
      <xdr:rowOff>12700</xdr:rowOff>
    </xdr:from>
    <xdr:to>
      <xdr:col>13</xdr:col>
      <xdr:colOff>63500</xdr:colOff>
      <xdr:row>121</xdr:row>
      <xdr:rowOff>88900</xdr:rowOff>
    </xdr:to>
    <xdr:cxnSp macro="">
      <xdr:nvCxnSpPr>
        <xdr:cNvPr id="27" name="直線矢印コネクタ 26">
          <a:extLst>
            <a:ext uri="{FF2B5EF4-FFF2-40B4-BE49-F238E27FC236}">
              <a16:creationId xmlns:a16="http://schemas.microsoft.com/office/drawing/2014/main" id="{00000000-0008-0000-0F00-00001B000000}"/>
            </a:ext>
          </a:extLst>
        </xdr:cNvPr>
        <xdr:cNvCxnSpPr/>
      </xdr:nvCxnSpPr>
      <xdr:spPr>
        <a:xfrm flipH="1">
          <a:off x="2006600" y="20955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123</xdr:row>
      <xdr:rowOff>19050</xdr:rowOff>
    </xdr:from>
    <xdr:to>
      <xdr:col>1</xdr:col>
      <xdr:colOff>82550</xdr:colOff>
      <xdr:row>126</xdr:row>
      <xdr:rowOff>95250</xdr:rowOff>
    </xdr:to>
    <xdr:cxnSp macro="">
      <xdr:nvCxnSpPr>
        <xdr:cNvPr id="28" name="直線矢印コネクタ 27">
          <a:extLst>
            <a:ext uri="{FF2B5EF4-FFF2-40B4-BE49-F238E27FC236}">
              <a16:creationId xmlns:a16="http://schemas.microsoft.com/office/drawing/2014/main" id="{00000000-0008-0000-0F00-00001C000000}"/>
            </a:ext>
          </a:extLst>
        </xdr:cNvPr>
        <xdr:cNvCxnSpPr/>
      </xdr:nvCxnSpPr>
      <xdr:spPr>
        <a:xfrm flipH="1">
          <a:off x="22225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123</xdr:row>
      <xdr:rowOff>12700</xdr:rowOff>
    </xdr:from>
    <xdr:to>
      <xdr:col>7</xdr:col>
      <xdr:colOff>69850</xdr:colOff>
      <xdr:row>126</xdr:row>
      <xdr:rowOff>88900</xdr:rowOff>
    </xdr:to>
    <xdr:cxnSp macro="">
      <xdr:nvCxnSpPr>
        <xdr:cNvPr id="29" name="直線矢印コネクタ 28">
          <a:extLst>
            <a:ext uri="{FF2B5EF4-FFF2-40B4-BE49-F238E27FC236}">
              <a16:creationId xmlns:a16="http://schemas.microsoft.com/office/drawing/2014/main" id="{00000000-0008-0000-0F00-00001D000000}"/>
            </a:ext>
          </a:extLst>
        </xdr:cNvPr>
        <xdr:cNvCxnSpPr/>
      </xdr:nvCxnSpPr>
      <xdr:spPr>
        <a:xfrm flipH="1">
          <a:off x="1136650" y="414655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69850</xdr:colOff>
      <xdr:row>123</xdr:row>
      <xdr:rowOff>19050</xdr:rowOff>
    </xdr:from>
    <xdr:to>
      <xdr:col>25</xdr:col>
      <xdr:colOff>76200</xdr:colOff>
      <xdr:row>126</xdr:row>
      <xdr:rowOff>95250</xdr:rowOff>
    </xdr:to>
    <xdr:cxnSp macro="">
      <xdr:nvCxnSpPr>
        <xdr:cNvPr id="30" name="直線矢印コネクタ 29">
          <a:extLst>
            <a:ext uri="{FF2B5EF4-FFF2-40B4-BE49-F238E27FC236}">
              <a16:creationId xmlns:a16="http://schemas.microsoft.com/office/drawing/2014/main" id="{00000000-0008-0000-0F00-00001E000000}"/>
            </a:ext>
          </a:extLst>
        </xdr:cNvPr>
        <xdr:cNvCxnSpPr/>
      </xdr:nvCxnSpPr>
      <xdr:spPr>
        <a:xfrm flipH="1">
          <a:off x="3771900" y="4152900"/>
          <a:ext cx="6350" cy="647700"/>
        </a:xfrm>
        <a:prstGeom prst="straightConnector1">
          <a:avLst/>
        </a:prstGeom>
        <a:ln w="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25400</xdr:colOff>
      <xdr:row>0</xdr:row>
      <xdr:rowOff>31750</xdr:rowOff>
    </xdr:from>
    <xdr:to>
      <xdr:col>42</xdr:col>
      <xdr:colOff>577850</xdr:colOff>
      <xdr:row>1</xdr:row>
      <xdr:rowOff>156800</xdr:rowOff>
    </xdr:to>
    <xdr:sp macro="" textlink="">
      <xdr:nvSpPr>
        <xdr:cNvPr id="31" name="右矢印 30">
          <a:hlinkClick xmlns:r="http://schemas.openxmlformats.org/officeDocument/2006/relationships" r:id="rId1"/>
          <a:extLst>
            <a:ext uri="{FF2B5EF4-FFF2-40B4-BE49-F238E27FC236}">
              <a16:creationId xmlns:a16="http://schemas.microsoft.com/office/drawing/2014/main" id="{00000000-0008-0000-0F00-00001F000000}"/>
            </a:ext>
          </a:extLst>
        </xdr:cNvPr>
        <xdr:cNvSpPr/>
      </xdr:nvSpPr>
      <xdr:spPr>
        <a:xfrm>
          <a:off x="67500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171450</xdr:rowOff>
    </xdr:from>
    <xdr:to>
      <xdr:col>42</xdr:col>
      <xdr:colOff>863600</xdr:colOff>
      <xdr:row>3</xdr:row>
      <xdr:rowOff>61550</xdr:rowOff>
    </xdr:to>
    <xdr:sp macro="" textlink="">
      <xdr:nvSpPr>
        <xdr:cNvPr id="32" name="右矢印 31">
          <a:hlinkClick xmlns:r="http://schemas.openxmlformats.org/officeDocument/2006/relationships" r:id="rId2"/>
          <a:extLst>
            <a:ext uri="{FF2B5EF4-FFF2-40B4-BE49-F238E27FC236}">
              <a16:creationId xmlns:a16="http://schemas.microsoft.com/office/drawing/2014/main" id="{00000000-0008-0000-0F00-000020000000}"/>
            </a:ext>
          </a:extLst>
        </xdr:cNvPr>
        <xdr:cNvSpPr/>
      </xdr:nvSpPr>
      <xdr:spPr>
        <a:xfrm>
          <a:off x="67500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1000-000005000000}"/>
            </a:ext>
          </a:extLst>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43</xdr:col>
      <xdr:colOff>76200</xdr:colOff>
      <xdr:row>0</xdr:row>
      <xdr:rowOff>6350</xdr:rowOff>
    </xdr:from>
    <xdr:to>
      <xdr:col>44</xdr:col>
      <xdr:colOff>19050</xdr:colOff>
      <xdr:row>1</xdr:row>
      <xdr:rowOff>131400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7410450" y="63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43</xdr:col>
      <xdr:colOff>76200</xdr:colOff>
      <xdr:row>1</xdr:row>
      <xdr:rowOff>146050</xdr:rowOff>
    </xdr:from>
    <xdr:to>
      <xdr:col>44</xdr:col>
      <xdr:colOff>304800</xdr:colOff>
      <xdr:row>2</xdr:row>
      <xdr:rowOff>226650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7410450" y="3810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67500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23450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67500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44450</xdr:colOff>
      <xdr:row>0</xdr:row>
      <xdr:rowOff>44450</xdr:rowOff>
    </xdr:from>
    <xdr:to>
      <xdr:col>42</xdr:col>
      <xdr:colOff>596900</xdr:colOff>
      <xdr:row>1</xdr:row>
      <xdr:rowOff>169500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4579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184150</xdr:rowOff>
    </xdr:from>
    <xdr:to>
      <xdr:col>43</xdr:col>
      <xdr:colOff>273050</xdr:colOff>
      <xdr:row>3</xdr:row>
      <xdr:rowOff>48850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64579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50800</xdr:colOff>
      <xdr:row>3</xdr:row>
      <xdr:rowOff>69850</xdr:rowOff>
    </xdr:from>
    <xdr:to>
      <xdr:col>25</xdr:col>
      <xdr:colOff>603250</xdr:colOff>
      <xdr:row>3</xdr:row>
      <xdr:rowOff>429850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0864850" y="552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25</xdr:col>
      <xdr:colOff>50800</xdr:colOff>
      <xdr:row>3</xdr:row>
      <xdr:rowOff>444500</xdr:rowOff>
    </xdr:from>
    <xdr:to>
      <xdr:col>26</xdr:col>
      <xdr:colOff>279400</xdr:colOff>
      <xdr:row>3</xdr:row>
      <xdr:rowOff>804500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10864850" y="927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25400</xdr:colOff>
      <xdr:row>0</xdr:row>
      <xdr:rowOff>38100</xdr:rowOff>
    </xdr:from>
    <xdr:to>
      <xdr:col>42</xdr:col>
      <xdr:colOff>577850</xdr:colOff>
      <xdr:row>1</xdr:row>
      <xdr:rowOff>163150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673850" y="381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25400</xdr:colOff>
      <xdr:row>1</xdr:row>
      <xdr:rowOff>177800</xdr:rowOff>
    </xdr:from>
    <xdr:to>
      <xdr:col>43</xdr:col>
      <xdr:colOff>254000</xdr:colOff>
      <xdr:row>3</xdr:row>
      <xdr:rowOff>67900</xdr:rowOff>
    </xdr:to>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6673850" y="4127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552450</xdr:colOff>
      <xdr:row>1</xdr:row>
      <xdr:rowOff>125050</xdr:rowOff>
    </xdr:to>
    <xdr:sp macro="" textlink="">
      <xdr:nvSpPr>
        <xdr:cNvPr id="3" name="右矢印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315700" y="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16</xdr:col>
      <xdr:colOff>0</xdr:colOff>
      <xdr:row>1</xdr:row>
      <xdr:rowOff>139700</xdr:rowOff>
    </xdr:from>
    <xdr:to>
      <xdr:col>17</xdr:col>
      <xdr:colOff>228600</xdr:colOff>
      <xdr:row>3</xdr:row>
      <xdr:rowOff>29800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11315700" y="3746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31750</xdr:colOff>
      <xdr:row>0</xdr:row>
      <xdr:rowOff>63500</xdr:rowOff>
    </xdr:from>
    <xdr:to>
      <xdr:col>42</xdr:col>
      <xdr:colOff>584200</xdr:colOff>
      <xdr:row>1</xdr:row>
      <xdr:rowOff>188550</xdr:rowOff>
    </xdr:to>
    <xdr:sp macro="" textlink="">
      <xdr:nvSpPr>
        <xdr:cNvPr id="10" name="右矢印 9">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a:off x="6680200" y="635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31750</xdr:colOff>
      <xdr:row>1</xdr:row>
      <xdr:rowOff>203200</xdr:rowOff>
    </xdr:from>
    <xdr:to>
      <xdr:col>43</xdr:col>
      <xdr:colOff>260350</xdr:colOff>
      <xdr:row>3</xdr:row>
      <xdr:rowOff>93300</xdr:rowOff>
    </xdr:to>
    <xdr:sp macro="" textlink="">
      <xdr:nvSpPr>
        <xdr:cNvPr id="11" name="右矢印 10">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a:off x="6680200" y="4381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57150</xdr:colOff>
      <xdr:row>0</xdr:row>
      <xdr:rowOff>31750</xdr:rowOff>
    </xdr:from>
    <xdr:to>
      <xdr:col>11</xdr:col>
      <xdr:colOff>0</xdr:colOff>
      <xdr:row>1</xdr:row>
      <xdr:rowOff>156800</xdr:rowOff>
    </xdr:to>
    <xdr:sp macro="" textlink="">
      <xdr:nvSpPr>
        <xdr:cNvPr id="7" name="右矢印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9988550" y="317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10</xdr:col>
      <xdr:colOff>57150</xdr:colOff>
      <xdr:row>1</xdr:row>
      <xdr:rowOff>171450</xdr:rowOff>
    </xdr:from>
    <xdr:to>
      <xdr:col>11</xdr:col>
      <xdr:colOff>285750</xdr:colOff>
      <xdr:row>3</xdr:row>
      <xdr:rowOff>61550</xdr:rowOff>
    </xdr:to>
    <xdr:sp macro="" textlink="">
      <xdr:nvSpPr>
        <xdr:cNvPr id="8" name="右矢印 7">
          <a:hlinkClick xmlns:r="http://schemas.openxmlformats.org/officeDocument/2006/relationships" r:id="rId2"/>
          <a:extLst>
            <a:ext uri="{FF2B5EF4-FFF2-40B4-BE49-F238E27FC236}">
              <a16:creationId xmlns:a16="http://schemas.microsoft.com/office/drawing/2014/main" id="{00000000-0008-0000-0700-000008000000}"/>
            </a:ext>
          </a:extLst>
        </xdr:cNvPr>
        <xdr:cNvSpPr/>
      </xdr:nvSpPr>
      <xdr:spPr>
        <a:xfrm>
          <a:off x="9988550" y="4064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42</xdr:col>
      <xdr:colOff>50800</xdr:colOff>
      <xdr:row>0</xdr:row>
      <xdr:rowOff>44450</xdr:rowOff>
    </xdr:from>
    <xdr:to>
      <xdr:col>42</xdr:col>
      <xdr:colOff>603250</xdr:colOff>
      <xdr:row>1</xdr:row>
      <xdr:rowOff>169500</xdr:rowOff>
    </xdr:to>
    <xdr:sp macro="" textlink="">
      <xdr:nvSpPr>
        <xdr:cNvPr id="5" name="右矢印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6750050" y="4445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50800</xdr:colOff>
      <xdr:row>1</xdr:row>
      <xdr:rowOff>184150</xdr:rowOff>
    </xdr:from>
    <xdr:to>
      <xdr:col>43</xdr:col>
      <xdr:colOff>279400</xdr:colOff>
      <xdr:row>3</xdr:row>
      <xdr:rowOff>74250</xdr:rowOff>
    </xdr:to>
    <xdr:sp macro="" textlink="">
      <xdr:nvSpPr>
        <xdr:cNvPr id="6" name="右矢印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6750050" y="41910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42</xdr:col>
      <xdr:colOff>44450</xdr:colOff>
      <xdr:row>0</xdr:row>
      <xdr:rowOff>50800</xdr:rowOff>
    </xdr:from>
    <xdr:to>
      <xdr:col>42</xdr:col>
      <xdr:colOff>596900</xdr:colOff>
      <xdr:row>1</xdr:row>
      <xdr:rowOff>175850</xdr:rowOff>
    </xdr:to>
    <xdr:sp macro="" textlink="">
      <xdr:nvSpPr>
        <xdr:cNvPr id="4" name="右矢印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743700" y="50800"/>
          <a:ext cx="552450" cy="360000"/>
        </a:xfrm>
        <a:prstGeom prst="rightArrow">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入力へ</a:t>
          </a:r>
        </a:p>
      </xdr:txBody>
    </xdr:sp>
    <xdr:clientData/>
  </xdr:twoCellAnchor>
  <xdr:twoCellAnchor>
    <xdr:from>
      <xdr:col>42</xdr:col>
      <xdr:colOff>44450</xdr:colOff>
      <xdr:row>1</xdr:row>
      <xdr:rowOff>190500</xdr:rowOff>
    </xdr:from>
    <xdr:to>
      <xdr:col>43</xdr:col>
      <xdr:colOff>273050</xdr:colOff>
      <xdr:row>3</xdr:row>
      <xdr:rowOff>80600</xdr:rowOff>
    </xdr:to>
    <xdr:sp macro="" textlink="">
      <xdr:nvSpPr>
        <xdr:cNvPr id="5" name="右矢印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6743700" y="425450"/>
          <a:ext cx="838200" cy="360000"/>
        </a:xfrm>
        <a:prstGeom prst="rightArrow">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100" baseline="0">
              <a:solidFill>
                <a:schemeClr val="tx1"/>
              </a:solidFill>
            </a:rPr>
            <a:t>必要書類へ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E113"/>
  <sheetViews>
    <sheetView zoomScale="120" zoomScaleNormal="120" workbookViewId="0">
      <pane xSplit="3" ySplit="2" topLeftCell="D48" activePane="bottomRight" state="frozen"/>
      <selection pane="topRight" activeCell="D1" sqref="D1"/>
      <selection pane="bottomLeft" activeCell="A3" sqref="A3"/>
      <selection pane="bottomRight" activeCell="D111" sqref="D111"/>
    </sheetView>
  </sheetViews>
  <sheetFormatPr defaultRowHeight="13.5" x14ac:dyDescent="0.15"/>
  <cols>
    <col min="1" max="1" width="1.625" customWidth="1"/>
    <col min="2" max="2" width="11.125" style="20" customWidth="1"/>
    <col min="3" max="3" width="32.125" style="20" customWidth="1"/>
    <col min="4" max="4" width="43.375" style="22" customWidth="1"/>
    <col min="5" max="5" width="44.125" style="20" bestFit="1" customWidth="1"/>
  </cols>
  <sheetData>
    <row r="1" spans="1:5" x14ac:dyDescent="0.15">
      <c r="A1" t="s">
        <v>520</v>
      </c>
      <c r="B1"/>
      <c r="C1"/>
    </row>
    <row r="2" spans="1:5" ht="26.1" customHeight="1" x14ac:dyDescent="0.15">
      <c r="B2" s="157" t="s">
        <v>229</v>
      </c>
      <c r="C2" s="23" t="s">
        <v>213</v>
      </c>
      <c r="D2" s="36">
        <v>45200</v>
      </c>
      <c r="E2" s="20" t="s">
        <v>481</v>
      </c>
    </row>
    <row r="3" spans="1:5" ht="26.1" customHeight="1" x14ac:dyDescent="0.15">
      <c r="B3" s="150"/>
      <c r="C3" s="24" t="s">
        <v>218</v>
      </c>
      <c r="D3" s="37" t="s">
        <v>584</v>
      </c>
    </row>
    <row r="4" spans="1:5" ht="26.1" customHeight="1" x14ac:dyDescent="0.15">
      <c r="B4" s="150"/>
      <c r="C4" s="24" t="s">
        <v>219</v>
      </c>
      <c r="D4" s="37" t="s">
        <v>585</v>
      </c>
      <c r="E4" s="20" t="s">
        <v>565</v>
      </c>
    </row>
    <row r="5" spans="1:5" ht="26.1" customHeight="1" x14ac:dyDescent="0.15">
      <c r="B5" s="150"/>
      <c r="C5" s="24" t="str">
        <f>IF(D3="個人","申請者の名前","事業者名（申請者の名称）")</f>
        <v>事業者名（申請者の名称）</v>
      </c>
      <c r="D5" s="38" t="s">
        <v>586</v>
      </c>
      <c r="E5" s="20" t="str">
        <f>IF(D3="個人",IF(COUNTIF(D5,"*店*")+COUNTIF(D5,"*燃料*"),"個人の名前を記載しているか要確認！！","個人の場合は個人の名前"),"")</f>
        <v/>
      </c>
    </row>
    <row r="6" spans="1:5" ht="26.1" customHeight="1" x14ac:dyDescent="0.15">
      <c r="B6" s="150"/>
      <c r="C6" s="24" t="s">
        <v>220</v>
      </c>
      <c r="D6" s="38" t="s">
        <v>587</v>
      </c>
    </row>
    <row r="7" spans="1:5" ht="26.1" customHeight="1" x14ac:dyDescent="0.15">
      <c r="B7" s="158"/>
      <c r="C7" s="25" t="s">
        <v>216</v>
      </c>
      <c r="D7" s="40" t="s">
        <v>588</v>
      </c>
    </row>
    <row r="8" spans="1:5" ht="26.1" customHeight="1" x14ac:dyDescent="0.15">
      <c r="B8" s="156" t="s">
        <v>463</v>
      </c>
      <c r="C8" s="85" t="s">
        <v>215</v>
      </c>
      <c r="D8" s="86">
        <v>1</v>
      </c>
    </row>
    <row r="9" spans="1:5" ht="26.1" customHeight="1" x14ac:dyDescent="0.15">
      <c r="B9" s="159"/>
      <c r="C9" s="27" t="str">
        <f>IF(D3="個人","申請者の名前","事業者名")&amp;"と事業所の名称"&amp;IF(D8=1,"","★")</f>
        <v>事業者名と事業所の名称</v>
      </c>
      <c r="D9" s="39" t="s">
        <v>589</v>
      </c>
    </row>
    <row r="10" spans="1:5" ht="26.1" customHeight="1" x14ac:dyDescent="0.15">
      <c r="B10" s="159"/>
      <c r="C10" s="27" t="str">
        <f>"事業所の名称"&amp;IF(D8=1,"","★")</f>
        <v>事業所の名称</v>
      </c>
      <c r="D10" s="38"/>
      <c r="E10" s="20" t="str">
        <f>IF(D9="同じ","","事業者名(申請者の名称)は記載しない")</f>
        <v/>
      </c>
    </row>
    <row r="11" spans="1:5" ht="26.1" customHeight="1" x14ac:dyDescent="0.15">
      <c r="B11" s="159"/>
      <c r="C11" s="27" t="str">
        <f>"申請者の住所と"&amp;IF(D10="","事業所",D10)&amp;"の住所"&amp;IF(D8=1,"","★")</f>
        <v>申請者の住所と事業所の住所</v>
      </c>
      <c r="D11" s="38" t="s">
        <v>589</v>
      </c>
    </row>
    <row r="12" spans="1:5" ht="26.1" customHeight="1" x14ac:dyDescent="0.15">
      <c r="B12" s="159"/>
      <c r="C12" s="27" t="str">
        <f>IF(D10="","事業所",D10)&amp;"の所在地"&amp;IF(D8=1,"","★")</f>
        <v>事業所の所在地</v>
      </c>
      <c r="D12" s="38"/>
    </row>
    <row r="13" spans="1:5" ht="26.1" customHeight="1" x14ac:dyDescent="0.15">
      <c r="B13" s="160"/>
      <c r="C13" s="28" t="str">
        <f>IF(D10="","事業所",D10)&amp;"の電話番号"&amp;IF(D8=1,"","★")</f>
        <v>事業所の電話番号</v>
      </c>
      <c r="D13" s="40" t="s">
        <v>590</v>
      </c>
    </row>
    <row r="14" spans="1:5" ht="81" x14ac:dyDescent="0.15">
      <c r="B14" s="149" t="s">
        <v>227</v>
      </c>
      <c r="C14" s="23" t="str">
        <f>IF(OR(D8=1,D10=""),"",D10&amp;"の")&amp;"供給開始時点検・調査の認定の有無"&amp;IF(D8=1,"","★")</f>
        <v>供給開始時点検・調査の認定の有無</v>
      </c>
      <c r="D14" s="41" t="s">
        <v>591</v>
      </c>
      <c r="E14" s="20" t="s">
        <v>564</v>
      </c>
    </row>
    <row r="15" spans="1:5" ht="26.1" customHeight="1" x14ac:dyDescent="0.15">
      <c r="B15" s="155"/>
      <c r="C15" s="24" t="str">
        <f>IF(OR(D8=1,D10=""),"",D10&amp;"の")&amp;"容器交換時等供給設備点検の認定の有無"&amp;IF(D8=1,"","★")</f>
        <v>容器交換時等供給設備点検の認定の有無</v>
      </c>
      <c r="D15" s="38" t="s">
        <v>592</v>
      </c>
    </row>
    <row r="16" spans="1:5" ht="26.1" customHeight="1" x14ac:dyDescent="0.15">
      <c r="B16" s="155"/>
      <c r="C16" s="24" t="str">
        <f>IF(OR(D8=1,D10=""),"",D10&amp;"の")&amp;"定期供給設備点検の認定の有無"&amp;IF(D8=1,"","★")</f>
        <v>定期供給設備点検の認定の有無</v>
      </c>
      <c r="D16" s="38" t="s">
        <v>593</v>
      </c>
    </row>
    <row r="17" spans="2:5" ht="26.1" customHeight="1" x14ac:dyDescent="0.15">
      <c r="B17" s="155"/>
      <c r="C17" s="24" t="str">
        <f>IF(OR(D8=1,D10=""),"",D10&amp;"の")&amp;"定期消費設備調査の認定の有無"&amp;IF(D8=1,"","★")</f>
        <v>定期消費設備調査の認定の有無</v>
      </c>
      <c r="D17" s="38" t="s">
        <v>594</v>
      </c>
    </row>
    <row r="18" spans="2:5" ht="26.1" customHeight="1" x14ac:dyDescent="0.15">
      <c r="B18" s="155"/>
      <c r="C18" s="24" t="str">
        <f>IF(OR(D8=1,D10=""),"",D10&amp;"の")&amp;"周知の認定の有無"&amp;IF(D8=1,"","★")</f>
        <v>周知の認定の有無</v>
      </c>
      <c r="D18" s="38" t="s">
        <v>595</v>
      </c>
    </row>
    <row r="19" spans="2:5" ht="26.1" customHeight="1" x14ac:dyDescent="0.15">
      <c r="B19" s="155"/>
      <c r="C19" s="24" t="str">
        <f>IF(OR(D8=1,D10=""),"",D10&amp;"の")&amp;"緊急時対応の認定の有無"&amp;IF(D8=1,"","★")</f>
        <v>緊急時対応の認定の有無</v>
      </c>
      <c r="D19" s="38" t="s">
        <v>596</v>
      </c>
    </row>
    <row r="20" spans="2:5" ht="67.5" x14ac:dyDescent="0.15">
      <c r="B20" s="151"/>
      <c r="C20" s="25" t="str">
        <f>IF(OR(D8=1,D10=""),"",D10&amp;"の")&amp;"緊急時連絡の認定の有無"&amp;IF(D8=1,"","★")</f>
        <v>緊急時連絡の認定の有無</v>
      </c>
      <c r="D20" s="40" t="s">
        <v>591</v>
      </c>
      <c r="E20" s="20" t="s">
        <v>563</v>
      </c>
    </row>
    <row r="21" spans="2:5" ht="39" customHeight="1" x14ac:dyDescent="0.15">
      <c r="B21" s="152" t="s">
        <v>228</v>
      </c>
      <c r="C21" s="26" t="str">
        <f>IF(OR(D8=1,D10=""),"",D10&amp;"の")&amp;"供給開始時点検・調査を行おうとする一般消費者等の数"&amp;IF(D8=1,"","★")</f>
        <v>供給開始時点検・調査を行おうとする一般消費者等の数</v>
      </c>
      <c r="D21" s="42"/>
    </row>
    <row r="22" spans="2:5" ht="51.95" customHeight="1" x14ac:dyDescent="0.15">
      <c r="B22" s="153"/>
      <c r="C22" s="27" t="str">
        <f>IF(OR(D8=1,D10=""),"",D10&amp;"の")&amp;"容器交換時等供給設備点検を行おうとする一般消費者等の数"&amp;IF(D8=1,"","★")</f>
        <v>容器交換時等供給設備点検を行おうとする一般消費者等の数</v>
      </c>
      <c r="D22" s="43">
        <v>500</v>
      </c>
    </row>
    <row r="23" spans="2:5" ht="39" customHeight="1" x14ac:dyDescent="0.15">
      <c r="B23" s="153"/>
      <c r="C23" s="27" t="str">
        <f>IF(OR(D8=1,D10=""),"",D10&amp;"の")&amp;"定期供給設備点検を行おうとする一般消費者等の数"&amp;IF(D8=1,"","★")</f>
        <v>定期供給設備点検を行おうとする一般消費者等の数</v>
      </c>
      <c r="D23" s="43">
        <v>500</v>
      </c>
    </row>
    <row r="24" spans="2:5" ht="39" customHeight="1" x14ac:dyDescent="0.15">
      <c r="B24" s="153"/>
      <c r="C24" s="27" t="str">
        <f>IF(OR(D8=1,D10=""),"",D10&amp;"の")&amp;"定期消費設備調査を行おうとする一般消費者等の数"&amp;IF(D8=1,"","★")</f>
        <v>定期消費設備調査を行おうとする一般消費者等の数</v>
      </c>
      <c r="D24" s="43">
        <v>500</v>
      </c>
    </row>
    <row r="25" spans="2:5" ht="39" customHeight="1" x14ac:dyDescent="0.15">
      <c r="B25" s="153"/>
      <c r="C25" s="27" t="str">
        <f>IF(OR(D8=1,D10=""),"",D10&amp;"の")&amp;"周知を行おうとする一般消費者等の数"&amp;IF(D8=1,"","★")</f>
        <v>周知を行おうとする一般消費者等の数</v>
      </c>
      <c r="D25" s="43">
        <v>500</v>
      </c>
    </row>
    <row r="26" spans="2:5" ht="39" customHeight="1" x14ac:dyDescent="0.15">
      <c r="B26" s="153"/>
      <c r="C26" s="27" t="str">
        <f>IF(OR(D8=1,D10=""),"",D10&amp;"の")&amp;"緊急時対応を行おうとする一般消費者等の数"&amp;IF(D8=1,"","★")</f>
        <v>緊急時対応を行おうとする一般消費者等の数</v>
      </c>
      <c r="D26" s="43">
        <v>500</v>
      </c>
    </row>
    <row r="27" spans="2:5" ht="39" customHeight="1" x14ac:dyDescent="0.15">
      <c r="B27" s="154"/>
      <c r="C27" s="28" t="str">
        <f>IF(OR(D8=1,D10=""),"",D10&amp;"の")&amp;"緊急時連絡を行おうとする一般消費者等の数"&amp;IF(D8=1,"","★")</f>
        <v>緊急時連絡を行おうとする一般消費者等の数</v>
      </c>
      <c r="D27" s="44"/>
    </row>
    <row r="28" spans="2:5" ht="39" customHeight="1" x14ac:dyDescent="0.15">
      <c r="B28" s="149" t="s">
        <v>230</v>
      </c>
      <c r="C28" s="23" t="str">
        <f>IF(OR(D8=1,D10=""),"",D10&amp;"の")&amp;"容器交換時等供給設備点検の平均月間実働日数"&amp;IF(D8=1,"","★")</f>
        <v>容器交換時等供給設備点検の平均月間実働日数</v>
      </c>
      <c r="D28" s="41">
        <v>22</v>
      </c>
    </row>
    <row r="29" spans="2:5" ht="26.1" customHeight="1" x14ac:dyDescent="0.15">
      <c r="B29" s="155"/>
      <c r="C29" s="24" t="str">
        <f>IF(OR(D8=1,D10=""),"",D10&amp;"の")&amp;"定期供給設備点検の年間実働日数"&amp;IF(D8=1,"","★")</f>
        <v>定期供給設備点検の年間実働日数</v>
      </c>
      <c r="D29" s="38">
        <v>263</v>
      </c>
    </row>
    <row r="30" spans="2:5" ht="26.1" customHeight="1" x14ac:dyDescent="0.15">
      <c r="B30" s="151"/>
      <c r="C30" s="25" t="str">
        <f>IF(OR(D8=1,D10=""),"",D10&amp;"の")&amp;"定期消費設備調査の年間実働日数"&amp;IF(D8=1,"","★")</f>
        <v>定期消費設備調査の年間実働日数</v>
      </c>
      <c r="D30" s="40">
        <v>263</v>
      </c>
    </row>
    <row r="31" spans="2:5" ht="51.95" customHeight="1" x14ac:dyDescent="0.15">
      <c r="B31" s="147" t="s">
        <v>528</v>
      </c>
      <c r="C31" s="85" t="str">
        <f>IF(OR(D8=1,D10=""),"",D10&amp;"の")&amp;"保安業務資格者のうち、液化石油ガス設備士又は第二種販売主任者の在籍数"&amp;IF(D8=1,"","★")</f>
        <v>保安業務資格者のうち、液化石油ガス設備士又は第二種販売主任者の在籍数</v>
      </c>
      <c r="D31" s="49">
        <v>2</v>
      </c>
      <c r="E31" s="20" t="s">
        <v>566</v>
      </c>
    </row>
    <row r="32" spans="2:5" ht="39" customHeight="1" x14ac:dyDescent="0.15">
      <c r="B32" s="159"/>
      <c r="C32" s="32" t="str">
        <f>IF(OR(D8=1,D10=""),"",D10&amp;"の")&amp;"保安業務資格者のうち、製造保安責任者(乙化・丙化等)の在籍数"&amp;IF(D8=1,"","★")</f>
        <v>保安業務資格者のうち、製造保安責任者(乙化・丙化等)の在籍数</v>
      </c>
      <c r="D32" s="45">
        <v>0</v>
      </c>
      <c r="E32" s="20" t="s">
        <v>567</v>
      </c>
    </row>
    <row r="33" spans="2:5" ht="39" customHeight="1" x14ac:dyDescent="0.15">
      <c r="B33" s="159"/>
      <c r="C33" s="137" t="str">
        <f>IF(OR(D8=1,D10=""),"",D10&amp;"の")&amp;"保安業務資格者のうち、業務主任者の代理者講習修了者の在籍数"&amp;IF(D8=1,"","★")</f>
        <v>保安業務資格者のうち、業務主任者の代理者講習修了者の在籍数</v>
      </c>
      <c r="D33" s="138">
        <v>0</v>
      </c>
      <c r="E33" s="20" t="s">
        <v>567</v>
      </c>
    </row>
    <row r="34" spans="2:5" ht="39" customHeight="1" x14ac:dyDescent="0.15">
      <c r="B34" s="159"/>
      <c r="C34" s="85" t="str">
        <f>IF(OR(D8=1,D10=""),"",D10&amp;"の")&amp;"保安業務資格者のうち、保安業務員講習修了者の在籍数"&amp;IF(D8=1,"","★")</f>
        <v>保安業務資格者のうち、保安業務員講習修了者の在籍数</v>
      </c>
      <c r="D34" s="49">
        <v>1</v>
      </c>
      <c r="E34" s="20" t="s">
        <v>567</v>
      </c>
    </row>
    <row r="35" spans="2:5" ht="39" customHeight="1" x14ac:dyDescent="0.15">
      <c r="B35" s="159"/>
      <c r="C35" s="27" t="str">
        <f>IF(OR(D8=1,D10=""),"",D10&amp;"の")&amp;"保安業務資格者の在籍数"&amp;IF(D8=1,"","★")</f>
        <v>保安業務資格者の在籍数</v>
      </c>
      <c r="D35" s="38">
        <v>3</v>
      </c>
      <c r="E35" s="20" t="str">
        <f>IF(AND(NOT(D35=""),NOT(D35=SUM(D31,D32,D33,D34))),"上記の各資格者の合計が、「保安業務資格者の在籍数」となるようにしてください！","該当者がいない場合は「0」を記載")</f>
        <v>該当者がいない場合は「0」を記載</v>
      </c>
    </row>
    <row r="36" spans="2:5" ht="40.5" x14ac:dyDescent="0.15">
      <c r="B36" s="159"/>
      <c r="C36" s="27" t="str">
        <f>IF(OR(D8=1,D10=""),"",D10&amp;"の")&amp;"容器交換時等供給設備点検を行う調査員の数"&amp;IF(D8=1,"","★")</f>
        <v>容器交換時等供給設備点検を行う調査員の数</v>
      </c>
      <c r="D36" s="38">
        <v>0</v>
      </c>
      <c r="E36" s="20" t="s">
        <v>568</v>
      </c>
    </row>
    <row r="37" spans="2:5" ht="39" customHeight="1" x14ac:dyDescent="0.15">
      <c r="B37" s="159"/>
      <c r="C37" s="32" t="str">
        <f>IF(OR(D8=1,D10=""),"",D10&amp;"の")&amp;"補助員を伴う定期供給設備点検"&amp;IF(D8=1,"","★")</f>
        <v>補助員を伴う定期供給設備点検</v>
      </c>
      <c r="D37" s="45" t="s">
        <v>597</v>
      </c>
      <c r="E37" s="20" t="s">
        <v>562</v>
      </c>
    </row>
    <row r="38" spans="2:5" ht="40.5" x14ac:dyDescent="0.15">
      <c r="B38" s="159"/>
      <c r="C38" s="32" t="str">
        <f>IF(OR(D8=1,D10=""),"",D10&amp;"の")&amp;"補助員を伴う定期消費設備調査"&amp;IF(D8=1,"","★")</f>
        <v>補助員を伴う定期消費設備調査</v>
      </c>
      <c r="D38" s="45" t="s">
        <v>598</v>
      </c>
      <c r="E38" s="20" t="s">
        <v>561</v>
      </c>
    </row>
    <row r="39" spans="2:5" ht="26.1" customHeight="1" x14ac:dyDescent="0.15">
      <c r="B39" s="159"/>
      <c r="C39" s="27" t="str">
        <f>IF(OR(D8=1,D10=""),"",D10&amp;"の")&amp;"補助員の在籍数"&amp;IF(D8=1,"","★")</f>
        <v>補助員の在籍数</v>
      </c>
      <c r="D39" s="38"/>
      <c r="E39" s="20" t="s">
        <v>569</v>
      </c>
    </row>
    <row r="40" spans="2:5" ht="26.1" customHeight="1" x14ac:dyDescent="0.15">
      <c r="B40" s="159"/>
      <c r="C40" s="27" t="str">
        <f>IF(OR(D8=1,D10=""),"",D10&amp;"の")&amp;"保安業務資格者名簿"&amp;IF(D8=1,"","★")</f>
        <v>保安業務資格者名簿</v>
      </c>
      <c r="D40" s="70" t="s">
        <v>272</v>
      </c>
      <c r="E40" s="53" t="s">
        <v>273</v>
      </c>
    </row>
    <row r="41" spans="2:5" ht="51.95" customHeight="1" x14ac:dyDescent="0.15">
      <c r="B41" s="160"/>
      <c r="C41" s="28" t="str">
        <f>IF(OR(D8=1,D10=""),"",D10&amp;"に在籍する")&amp;"実務経験を必要とする保安業務資格者の実務経験を証する書面"&amp;IF(D8=1,"","★")</f>
        <v>実務経験を必要とする保安業務資格者の実務経験を証する書面</v>
      </c>
      <c r="D41" s="30" t="s">
        <v>448</v>
      </c>
      <c r="E41" s="53" t="s">
        <v>361</v>
      </c>
    </row>
    <row r="42" spans="2:5" ht="26.1" customHeight="1" x14ac:dyDescent="0.15">
      <c r="B42" s="157" t="s">
        <v>231</v>
      </c>
      <c r="C42" s="23" t="str">
        <f>IF(OR(D8=1,D10=""),"",D10&amp;"の")&amp;"自記圧力計の保有数"&amp;IF(D8=1,"","★")</f>
        <v>自記圧力計の保有数</v>
      </c>
      <c r="D42" s="41">
        <v>2</v>
      </c>
    </row>
    <row r="43" spans="2:5" ht="26.1" customHeight="1" x14ac:dyDescent="0.15">
      <c r="B43" s="150"/>
      <c r="C43" s="24" t="str">
        <f>IF(OR(D8=1,D10=""),"",D10&amp;"の")&amp;"マノメータの保有数"&amp;IF(D8=1,"","★")</f>
        <v>マノメータの保有数</v>
      </c>
      <c r="D43" s="38">
        <v>1</v>
      </c>
    </row>
    <row r="44" spans="2:5" ht="26.1" customHeight="1" x14ac:dyDescent="0.15">
      <c r="B44" s="150"/>
      <c r="C44" s="24" t="str">
        <f>IF(OR(D8=1,D10=""),"",D10&amp;"の")&amp;"ガス検知器の保有数"&amp;IF(D8=1,"","★")</f>
        <v>ガス検知器の保有数</v>
      </c>
      <c r="D44" s="38">
        <v>2</v>
      </c>
    </row>
    <row r="45" spans="2:5" ht="26.1" customHeight="1" x14ac:dyDescent="0.15">
      <c r="B45" s="150"/>
      <c r="C45" s="24" t="str">
        <f>IF(OR(D8=1,D10=""),"",D10&amp;"の")&amp;"漏えい検知液の保有数"&amp;IF(D8=1,"","★")</f>
        <v>漏えい検知液の保有数</v>
      </c>
      <c r="D45" s="38">
        <v>2</v>
      </c>
    </row>
    <row r="46" spans="2:5" ht="26.1" customHeight="1" x14ac:dyDescent="0.15">
      <c r="B46" s="150"/>
      <c r="C46" s="24" t="str">
        <f>IF(OR(D8=1,D10=""),"",D10&amp;"の")&amp;"緊急工具類の保有数"&amp;IF(D8=1,"","★")</f>
        <v>緊急工具類の保有数</v>
      </c>
      <c r="D46" s="38">
        <v>1</v>
      </c>
    </row>
    <row r="47" spans="2:5" ht="26.1" customHeight="1" x14ac:dyDescent="0.15">
      <c r="B47" s="150"/>
      <c r="C47" s="24" t="str">
        <f>IF(OR(D8=1,D10=""),"",D10&amp;"の")&amp;"一酸化炭素測定器の保有数"&amp;IF(D8=1,"","★")</f>
        <v>一酸化炭素測定器の保有数</v>
      </c>
      <c r="D47" s="38">
        <v>1</v>
      </c>
    </row>
    <row r="48" spans="2:5" ht="26.1" customHeight="1" x14ac:dyDescent="0.15">
      <c r="B48" s="150"/>
      <c r="C48" s="24" t="str">
        <f>IF(OR(D8=1,D10=""),"",D10&amp;"の")&amp;"ボーリングバーの保有数"&amp;IF(D8=1,"","★")</f>
        <v>ボーリングバーの保有数</v>
      </c>
      <c r="D48" s="38">
        <v>1</v>
      </c>
    </row>
    <row r="49" spans="2:5" ht="26.1" customHeight="1" x14ac:dyDescent="0.15">
      <c r="B49" s="160"/>
      <c r="C49" s="34" t="str">
        <f>"保安業務用機器の専有証明"&amp;IF(D8=1,"","★")</f>
        <v>保安業務用機器の専有証明</v>
      </c>
      <c r="D49" s="35" t="s">
        <v>274</v>
      </c>
      <c r="E49" s="53" t="s">
        <v>275</v>
      </c>
    </row>
    <row r="50" spans="2:5" ht="26.1" customHeight="1" x14ac:dyDescent="0.15">
      <c r="B50" s="147" t="s">
        <v>554</v>
      </c>
      <c r="C50" s="26" t="s">
        <v>471</v>
      </c>
      <c r="D50" s="46" t="s">
        <v>599</v>
      </c>
    </row>
    <row r="51" spans="2:5" ht="26.1" customHeight="1" x14ac:dyDescent="0.15">
      <c r="B51" s="159"/>
      <c r="C51" s="27" t="s">
        <v>232</v>
      </c>
      <c r="D51" s="47" t="s">
        <v>600</v>
      </c>
    </row>
    <row r="52" spans="2:5" ht="26.1" customHeight="1" x14ac:dyDescent="0.15">
      <c r="B52" s="159"/>
      <c r="C52" s="27" t="s">
        <v>480</v>
      </c>
      <c r="D52" s="48">
        <v>250</v>
      </c>
    </row>
    <row r="53" spans="2:5" ht="26.1" customHeight="1" x14ac:dyDescent="0.15">
      <c r="B53" s="159"/>
      <c r="C53" s="27" t="s">
        <v>484</v>
      </c>
      <c r="D53" s="109" t="s">
        <v>482</v>
      </c>
      <c r="E53" s="53" t="s">
        <v>483</v>
      </c>
    </row>
    <row r="54" spans="2:5" ht="27" x14ac:dyDescent="0.15">
      <c r="B54" s="160"/>
      <c r="C54" s="28" t="s">
        <v>233</v>
      </c>
      <c r="D54" s="141" t="s">
        <v>601</v>
      </c>
    </row>
    <row r="55" spans="2:5" ht="26.1" customHeight="1" x14ac:dyDescent="0.15">
      <c r="B55" s="157" t="s">
        <v>555</v>
      </c>
      <c r="C55" s="23" t="s">
        <v>234</v>
      </c>
      <c r="D55" s="46" t="s">
        <v>602</v>
      </c>
    </row>
    <row r="56" spans="2:5" ht="27" x14ac:dyDescent="0.15">
      <c r="B56" s="150"/>
      <c r="C56" s="24" t="s">
        <v>235</v>
      </c>
      <c r="D56" s="47"/>
    </row>
    <row r="57" spans="2:5" ht="27" x14ac:dyDescent="0.15">
      <c r="B57" s="158"/>
      <c r="C57" s="25" t="s">
        <v>527</v>
      </c>
      <c r="D57" s="140" t="s">
        <v>270</v>
      </c>
      <c r="E57" s="53" t="s">
        <v>223</v>
      </c>
    </row>
    <row r="58" spans="2:5" ht="26.1" customHeight="1" x14ac:dyDescent="0.15">
      <c r="B58" s="147" t="s">
        <v>556</v>
      </c>
      <c r="C58" s="89" t="s">
        <v>256</v>
      </c>
      <c r="D58" s="46" t="s">
        <v>603</v>
      </c>
    </row>
    <row r="59" spans="2:5" ht="26.1" customHeight="1" x14ac:dyDescent="0.15">
      <c r="B59" s="156"/>
      <c r="C59" s="137" t="s">
        <v>257</v>
      </c>
      <c r="D59" s="47" t="s">
        <v>604</v>
      </c>
    </row>
    <row r="60" spans="2:5" ht="26.1" customHeight="1" x14ac:dyDescent="0.15">
      <c r="B60" s="156"/>
      <c r="C60" s="137" t="s">
        <v>258</v>
      </c>
      <c r="D60" s="47" t="s">
        <v>605</v>
      </c>
    </row>
    <row r="61" spans="2:5" ht="26.1" customHeight="1" x14ac:dyDescent="0.15">
      <c r="B61" s="156"/>
      <c r="C61" s="137" t="s">
        <v>259</v>
      </c>
      <c r="D61" s="47" t="s">
        <v>606</v>
      </c>
    </row>
    <row r="62" spans="2:5" ht="26.1" customHeight="1" x14ac:dyDescent="0.15">
      <c r="B62" s="156"/>
      <c r="C62" s="137" t="s">
        <v>261</v>
      </c>
      <c r="D62" s="47" t="s">
        <v>607</v>
      </c>
    </row>
    <row r="63" spans="2:5" ht="26.1" customHeight="1" x14ac:dyDescent="0.15">
      <c r="B63" s="156"/>
      <c r="C63" s="137" t="s">
        <v>260</v>
      </c>
      <c r="D63" s="47" t="s">
        <v>608</v>
      </c>
    </row>
    <row r="64" spans="2:5" ht="51.95" customHeight="1" x14ac:dyDescent="0.15">
      <c r="B64" s="156"/>
      <c r="C64" s="137" t="s">
        <v>468</v>
      </c>
      <c r="D64" s="47" t="s">
        <v>609</v>
      </c>
      <c r="E64" s="20" t="s">
        <v>404</v>
      </c>
    </row>
    <row r="65" spans="2:5" ht="26.1" customHeight="1" x14ac:dyDescent="0.15">
      <c r="B65" s="156"/>
      <c r="C65" s="137" t="s">
        <v>262</v>
      </c>
      <c r="D65" s="47" t="s">
        <v>610</v>
      </c>
    </row>
    <row r="66" spans="2:5" ht="26.1" customHeight="1" x14ac:dyDescent="0.15">
      <c r="B66" s="156"/>
      <c r="C66" s="137" t="s">
        <v>264</v>
      </c>
      <c r="D66" s="142" t="s">
        <v>269</v>
      </c>
      <c r="E66" s="53" t="s">
        <v>263</v>
      </c>
    </row>
    <row r="67" spans="2:5" ht="39" customHeight="1" x14ac:dyDescent="0.15">
      <c r="B67" s="160"/>
      <c r="C67" s="143" t="s">
        <v>557</v>
      </c>
      <c r="D67" s="141" t="s">
        <v>611</v>
      </c>
      <c r="E67" s="20" t="s">
        <v>560</v>
      </c>
    </row>
    <row r="68" spans="2:5" ht="39" customHeight="1" x14ac:dyDescent="0.15">
      <c r="B68" s="139" t="s">
        <v>467</v>
      </c>
      <c r="C68" s="88" t="str">
        <f>IF(OR(D8=1,D10=""),"",D10&amp;"の")&amp;"周知の方法"&amp;IF(D8=1,"","★")</f>
        <v>周知の方法</v>
      </c>
      <c r="D68" s="110" t="s">
        <v>612</v>
      </c>
      <c r="E68" s="20" t="str">
        <f>IF(AND(COUNTIF($D$68,"*同時に実施*"),NOT(COUNTIF($D$15,"*受ける*")),NOT(COUNTIF($D$16,"*受ける*")),NOT(COUNTIF($D$17,"*受ける*"))),"「認定の区分」を再確認！","")</f>
        <v/>
      </c>
    </row>
    <row r="69" spans="2:5" ht="51.95" customHeight="1" x14ac:dyDescent="0.15">
      <c r="B69" s="147" t="s">
        <v>236</v>
      </c>
      <c r="C69" s="26" t="str">
        <f>IF(D10="","事業所",D10)&amp;"の位置及び緊急時対応を行おうとする一般消費者等の範囲を示した図面"&amp;IF(D8=1,"","★")</f>
        <v>事業所の位置及び緊急時対応を行おうとする一般消費者等の範囲を示した図面</v>
      </c>
      <c r="D69" s="31" t="s">
        <v>446</v>
      </c>
      <c r="E69" s="53" t="s">
        <v>224</v>
      </c>
    </row>
    <row r="70" spans="2:5" ht="39" customHeight="1" x14ac:dyDescent="0.15">
      <c r="B70" s="156"/>
      <c r="C70" s="27" t="str">
        <f>IF(OR(D8=1,D10=""),"",D10&amp;"の")&amp;"緊急時対応に出動するための手段"&amp;IF(D8=1,"","★")</f>
        <v>緊急時対応に出動するための手段</v>
      </c>
      <c r="D70" s="38" t="s">
        <v>613</v>
      </c>
    </row>
    <row r="71" spans="2:5" ht="39" customHeight="1" x14ac:dyDescent="0.15">
      <c r="B71" s="156"/>
      <c r="C71" s="27" t="str">
        <f>IF(OR(D8=1,D10=""),"",D10&amp;"の")&amp;"緊急時対応に出動するための手段の車両番号"&amp;IF(D8=1,"","★")</f>
        <v>緊急時対応に出動するための手段の車両番号</v>
      </c>
      <c r="D71" s="38" t="s">
        <v>614</v>
      </c>
      <c r="E71" s="20" t="s">
        <v>570</v>
      </c>
    </row>
    <row r="72" spans="2:5" ht="39" customHeight="1" x14ac:dyDescent="0.15">
      <c r="B72" s="156"/>
      <c r="C72" s="27" t="str">
        <f>IF(OR(D8=1,D10=""),"",D10&amp;"の")&amp;"緊急時対応に出動するための手段の専有状況"&amp;IF(D8=1,"","★")</f>
        <v>緊急時対応に出動するための手段の専有状況</v>
      </c>
      <c r="D72" s="38" t="s">
        <v>615</v>
      </c>
    </row>
    <row r="73" spans="2:5" ht="39" customHeight="1" x14ac:dyDescent="0.15">
      <c r="B73" s="156"/>
      <c r="C73" s="27" t="str">
        <f>"保安業務資格者を"&amp;IF(D10="",D5,D10)&amp;"に常時（365日、24時間）配置の有無"&amp;IF(D8=1,"","★")</f>
        <v>保安業務資格者を○○株式会社に常時（365日、24時間）配置の有無</v>
      </c>
      <c r="D73" s="38" t="s">
        <v>616</v>
      </c>
    </row>
    <row r="74" spans="2:5" ht="39" customHeight="1" x14ac:dyDescent="0.15">
      <c r="B74" s="156"/>
      <c r="C74" s="27" t="str">
        <f>IF(D10="",D5,D10)&amp;"に常時（365日、24時間）配置する保安業務資格者の数"&amp;IF(D8=1,"","★")</f>
        <v>○○株式会社に常時（365日、24時間）配置する保安業務資格者の数</v>
      </c>
      <c r="D74" s="38"/>
    </row>
    <row r="75" spans="2:5" ht="51.95" customHeight="1" x14ac:dyDescent="0.15">
      <c r="B75" s="156"/>
      <c r="C75" s="27" t="str">
        <f>IF(D10="","事業所",D10)&amp;"以外で、10分以内に"&amp;IF(D10="",D5,D10)&amp;"に到着できる場所に配置する保安業務資格者の数"&amp;IF(D8=1,"","★")</f>
        <v>事業所以外で、10分以内に○○株式会社に到着できる場所に配置する保安業務資格者の数</v>
      </c>
      <c r="D75" s="38">
        <v>2</v>
      </c>
      <c r="E75" s="20" t="s">
        <v>571</v>
      </c>
    </row>
    <row r="76" spans="2:5" ht="51.95" customHeight="1" x14ac:dyDescent="0.15">
      <c r="B76" s="156"/>
      <c r="C76" s="27" t="str">
        <f>"常時配置する保安業務資格者を"&amp;IF(D10="","事業所",D10)&amp;"以外に配置する場合、"&amp;IF(D10="","事業所",D10)&amp;"および全ての配置場所を示した図面"&amp;IF(D8=1,"","★")</f>
        <v>常時配置する保安業務資格者を事業所以外に配置する場合、事業所および全ての配置場所を示した図面</v>
      </c>
      <c r="D76" s="33" t="s">
        <v>447</v>
      </c>
      <c r="E76" s="53" t="s">
        <v>225</v>
      </c>
    </row>
    <row r="77" spans="2:5" ht="26.1" customHeight="1" x14ac:dyDescent="0.15">
      <c r="B77" s="148"/>
      <c r="C77" s="85" t="s">
        <v>217</v>
      </c>
      <c r="D77" s="49" t="s">
        <v>617</v>
      </c>
    </row>
    <row r="78" spans="2:5" ht="39" customHeight="1" x14ac:dyDescent="0.15">
      <c r="B78" s="149" t="s">
        <v>464</v>
      </c>
      <c r="C78" s="23" t="str">
        <f>IF(OR(D8=1,D10=""),"",D10&amp;"の")&amp;"緊急時連絡の受信方法"&amp;IF(D8=1,"","★")</f>
        <v>緊急時連絡の受信方法</v>
      </c>
      <c r="D78" s="41" t="s">
        <v>618</v>
      </c>
    </row>
    <row r="79" spans="2:5" ht="39" customHeight="1" x14ac:dyDescent="0.15">
      <c r="B79" s="150"/>
      <c r="C79" s="24" t="str">
        <f>IF(OR(D8=1,D10=""),"",D10&amp;"の")&amp;"緊急時連絡の受信方法が電話の場合、その電話番号"&amp;IF(D8=1,"","★")</f>
        <v>緊急時連絡の受信方法が電話の場合、その電話番号</v>
      </c>
      <c r="D79" s="38" t="s">
        <v>619</v>
      </c>
    </row>
    <row r="80" spans="2:5" ht="39" customHeight="1" x14ac:dyDescent="0.15">
      <c r="B80" s="150"/>
      <c r="C80" s="24" t="str">
        <f>IF(OR(D8=1,D10=""),"",D10&amp;"の")&amp;"緊急時連絡の受信方法が電話以外の場合の、受信方法"&amp;IF(D8=1,"","★")</f>
        <v>緊急時連絡の受信方法が電話以外の場合の、受信方法</v>
      </c>
      <c r="D80" s="38"/>
    </row>
    <row r="81" spans="2:5" ht="39" customHeight="1" x14ac:dyDescent="0.15">
      <c r="B81" s="151"/>
      <c r="C81" s="25" t="str">
        <f>IF(OR(D8=1,D10=""),"",D10&amp;"の")&amp;"緊急時連絡の受信場所"&amp;IF(D8=1,"","★")</f>
        <v>緊急時連絡の受信場所</v>
      </c>
      <c r="D81" s="40" t="s">
        <v>620</v>
      </c>
    </row>
    <row r="82" spans="2:5" ht="40.5" x14ac:dyDescent="0.15">
      <c r="B82" s="152" t="s">
        <v>248</v>
      </c>
      <c r="C82" s="26" t="s">
        <v>226</v>
      </c>
      <c r="D82" s="46" t="s">
        <v>621</v>
      </c>
      <c r="E82" s="20" t="str">
        <f>IF(COUNTIF(D82,"*締結していない*"),"","保険契約書等で加入内容がわかるものを添付")</f>
        <v>保険契約書等で加入内容がわかるものを添付</v>
      </c>
    </row>
    <row r="83" spans="2:5" x14ac:dyDescent="0.15">
      <c r="B83" s="153"/>
      <c r="C83" s="27" t="s">
        <v>237</v>
      </c>
      <c r="D83" s="47" t="s">
        <v>622</v>
      </c>
    </row>
    <row r="84" spans="2:5" ht="26.1" customHeight="1" x14ac:dyDescent="0.15">
      <c r="B84" s="153"/>
      <c r="C84" s="27" t="s">
        <v>238</v>
      </c>
      <c r="D84" s="47" t="s">
        <v>623</v>
      </c>
    </row>
    <row r="85" spans="2:5" ht="40.5" x14ac:dyDescent="0.15">
      <c r="B85" s="153"/>
      <c r="C85" s="27" t="s">
        <v>241</v>
      </c>
      <c r="D85" s="50">
        <v>50</v>
      </c>
      <c r="E85" s="20" t="s">
        <v>572</v>
      </c>
    </row>
    <row r="86" spans="2:5" ht="40.5" x14ac:dyDescent="0.15">
      <c r="B86" s="153"/>
      <c r="C86" s="27" t="s">
        <v>242</v>
      </c>
      <c r="D86" s="50">
        <v>50</v>
      </c>
      <c r="E86" s="20" t="str">
        <f>E$85</f>
        <v>億円単位</v>
      </c>
    </row>
    <row r="87" spans="2:5" ht="40.5" x14ac:dyDescent="0.15">
      <c r="B87" s="153"/>
      <c r="C87" s="27" t="s">
        <v>243</v>
      </c>
      <c r="D87" s="50">
        <v>50</v>
      </c>
      <c r="E87" s="20" t="str">
        <f>E$85</f>
        <v>億円単位</v>
      </c>
    </row>
    <row r="88" spans="2:5" ht="40.5" x14ac:dyDescent="0.15">
      <c r="B88" s="153"/>
      <c r="C88" s="27" t="s">
        <v>240</v>
      </c>
      <c r="D88" s="47" t="s">
        <v>624</v>
      </c>
    </row>
    <row r="89" spans="2:5" ht="27" x14ac:dyDescent="0.15">
      <c r="B89" s="153"/>
      <c r="C89" s="27" t="s">
        <v>239</v>
      </c>
      <c r="D89" s="47" t="s">
        <v>625</v>
      </c>
    </row>
    <row r="90" spans="2:5" ht="54" x14ac:dyDescent="0.15">
      <c r="B90" s="153"/>
      <c r="C90" s="27" t="s">
        <v>244</v>
      </c>
      <c r="D90" s="51">
        <v>50</v>
      </c>
      <c r="E90" s="20" t="s">
        <v>573</v>
      </c>
    </row>
    <row r="91" spans="2:5" ht="54" x14ac:dyDescent="0.15">
      <c r="B91" s="153"/>
      <c r="C91" s="27" t="s">
        <v>245</v>
      </c>
      <c r="D91" s="51">
        <v>10</v>
      </c>
      <c r="E91" s="20" t="str">
        <f>E$90</f>
        <v>万円単位</v>
      </c>
    </row>
    <row r="92" spans="2:5" ht="54" x14ac:dyDescent="0.15">
      <c r="B92" s="153"/>
      <c r="C92" s="27" t="s">
        <v>246</v>
      </c>
      <c r="D92" s="51">
        <v>100</v>
      </c>
      <c r="E92" s="20" t="str">
        <f>E91</f>
        <v>万円単位</v>
      </c>
    </row>
    <row r="93" spans="2:5" ht="27" x14ac:dyDescent="0.15">
      <c r="B93" s="154"/>
      <c r="C93" s="28" t="s">
        <v>247</v>
      </c>
      <c r="D93" s="52">
        <v>0</v>
      </c>
      <c r="E93" s="20" t="s">
        <v>574</v>
      </c>
    </row>
    <row r="94" spans="2:5" ht="40.5" x14ac:dyDescent="0.15">
      <c r="B94" s="149" t="s">
        <v>249</v>
      </c>
      <c r="C94" s="23" t="s">
        <v>250</v>
      </c>
      <c r="D94" s="46" t="s">
        <v>626</v>
      </c>
      <c r="E94" s="20" t="str">
        <f>IF(COUNTIF(D94,"*締結していない*"),"","保険契約書等で加入内容がわかるものを添付")</f>
        <v/>
      </c>
    </row>
    <row r="95" spans="2:5" x14ac:dyDescent="0.15">
      <c r="B95" s="155"/>
      <c r="C95" s="24" t="s">
        <v>237</v>
      </c>
      <c r="D95" s="47"/>
    </row>
    <row r="96" spans="2:5" ht="26.1" customHeight="1" x14ac:dyDescent="0.15">
      <c r="B96" s="155"/>
      <c r="C96" s="24" t="s">
        <v>238</v>
      </c>
      <c r="D96" s="47"/>
    </row>
    <row r="97" spans="1:5" ht="40.5" x14ac:dyDescent="0.15">
      <c r="B97" s="155"/>
      <c r="C97" s="24" t="s">
        <v>241</v>
      </c>
      <c r="D97" s="50"/>
      <c r="E97" s="20" t="s">
        <v>572</v>
      </c>
    </row>
    <row r="98" spans="1:5" ht="40.5" x14ac:dyDescent="0.15">
      <c r="B98" s="155"/>
      <c r="C98" s="24" t="s">
        <v>242</v>
      </c>
      <c r="D98" s="50"/>
      <c r="E98" s="20" t="str">
        <f>E$85</f>
        <v>億円単位</v>
      </c>
    </row>
    <row r="99" spans="1:5" ht="40.5" x14ac:dyDescent="0.15">
      <c r="B99" s="155"/>
      <c r="C99" s="24" t="s">
        <v>243</v>
      </c>
      <c r="D99" s="50"/>
      <c r="E99" s="20" t="str">
        <f>E$85</f>
        <v>億円単位</v>
      </c>
    </row>
    <row r="100" spans="1:5" ht="40.5" x14ac:dyDescent="0.15">
      <c r="B100" s="155"/>
      <c r="C100" s="24" t="s">
        <v>240</v>
      </c>
      <c r="D100" s="47"/>
    </row>
    <row r="101" spans="1:5" ht="27" x14ac:dyDescent="0.15">
      <c r="B101" s="155"/>
      <c r="C101" s="24" t="s">
        <v>239</v>
      </c>
      <c r="D101" s="47"/>
    </row>
    <row r="102" spans="1:5" ht="54" x14ac:dyDescent="0.15">
      <c r="B102" s="155"/>
      <c r="C102" s="24" t="s">
        <v>244</v>
      </c>
      <c r="D102" s="51"/>
      <c r="E102" s="20" t="s">
        <v>573</v>
      </c>
    </row>
    <row r="103" spans="1:5" ht="54" x14ac:dyDescent="0.15">
      <c r="B103" s="155"/>
      <c r="C103" s="24" t="s">
        <v>245</v>
      </c>
      <c r="D103" s="51"/>
      <c r="E103" s="20" t="str">
        <f>E$90</f>
        <v>万円単位</v>
      </c>
    </row>
    <row r="104" spans="1:5" ht="54" x14ac:dyDescent="0.15">
      <c r="B104" s="155"/>
      <c r="C104" s="24" t="s">
        <v>246</v>
      </c>
      <c r="D104" s="51"/>
      <c r="E104" s="20" t="str">
        <f>E103</f>
        <v>万円単位</v>
      </c>
    </row>
    <row r="105" spans="1:5" ht="27" x14ac:dyDescent="0.15">
      <c r="B105" s="151"/>
      <c r="C105" s="25" t="s">
        <v>247</v>
      </c>
      <c r="D105" s="52"/>
      <c r="E105" s="20" t="s">
        <v>574</v>
      </c>
    </row>
    <row r="106" spans="1:5" ht="26.1" customHeight="1" x14ac:dyDescent="0.15">
      <c r="B106" s="147" t="s">
        <v>255</v>
      </c>
      <c r="C106" s="89" t="s">
        <v>251</v>
      </c>
      <c r="D106" s="29" t="s">
        <v>267</v>
      </c>
      <c r="E106" s="53" t="s">
        <v>253</v>
      </c>
    </row>
    <row r="107" spans="1:5" ht="26.1" customHeight="1" x14ac:dyDescent="0.15">
      <c r="B107" s="156"/>
      <c r="C107" s="27" t="s">
        <v>254</v>
      </c>
      <c r="D107" s="70" t="s">
        <v>267</v>
      </c>
      <c r="E107" s="53" t="s">
        <v>252</v>
      </c>
    </row>
    <row r="108" spans="1:5" ht="27" x14ac:dyDescent="0.15">
      <c r="B108" s="148"/>
      <c r="C108" s="28" t="s">
        <v>265</v>
      </c>
      <c r="D108" s="30" t="s">
        <v>268</v>
      </c>
      <c r="E108" s="53" t="s">
        <v>266</v>
      </c>
    </row>
    <row r="109" spans="1:5" ht="26.1" customHeight="1" x14ac:dyDescent="0.15">
      <c r="B109" s="145" t="s">
        <v>537</v>
      </c>
      <c r="C109" s="146"/>
      <c r="D109" s="136" t="s">
        <v>521</v>
      </c>
      <c r="E109" s="53" t="s">
        <v>522</v>
      </c>
    </row>
    <row r="110" spans="1:5" ht="27" x14ac:dyDescent="0.15">
      <c r="B110" s="147" t="s">
        <v>412</v>
      </c>
      <c r="C110" s="104" t="s">
        <v>413</v>
      </c>
      <c r="D110" s="105">
        <v>48500</v>
      </c>
      <c r="E110" s="107" t="s">
        <v>575</v>
      </c>
    </row>
    <row r="111" spans="1:5" ht="26.1" customHeight="1" x14ac:dyDescent="0.15">
      <c r="B111" s="148"/>
      <c r="C111" s="106" t="s">
        <v>485</v>
      </c>
      <c r="D111" s="108" t="s">
        <v>519</v>
      </c>
      <c r="E111"/>
    </row>
    <row r="112" spans="1:5" x14ac:dyDescent="0.15">
      <c r="A112" t="s">
        <v>469</v>
      </c>
    </row>
    <row r="113" spans="1:1" x14ac:dyDescent="0.15">
      <c r="A113" t="s">
        <v>470</v>
      </c>
    </row>
  </sheetData>
  <sheetProtection sheet="1" objects="1" scenarios="1" selectLockedCells="1"/>
  <mergeCells count="17">
    <mergeCell ref="B2:B7"/>
    <mergeCell ref="B8:B13"/>
    <mergeCell ref="B69:B77"/>
    <mergeCell ref="B14:B20"/>
    <mergeCell ref="B21:B27"/>
    <mergeCell ref="B28:B30"/>
    <mergeCell ref="B42:B49"/>
    <mergeCell ref="B31:B41"/>
    <mergeCell ref="B50:B54"/>
    <mergeCell ref="B55:B57"/>
    <mergeCell ref="B58:B67"/>
    <mergeCell ref="B109:C109"/>
    <mergeCell ref="B110:B111"/>
    <mergeCell ref="B78:B81"/>
    <mergeCell ref="B82:B93"/>
    <mergeCell ref="B94:B105"/>
    <mergeCell ref="B106:B108"/>
  </mergeCells>
  <phoneticPr fontId="1"/>
  <conditionalFormatting sqref="D2:D1000">
    <cfRule type="expression" dxfId="171" priority="54">
      <formula>AND(NOT($C2=""),$D2="")</formula>
    </cfRule>
  </conditionalFormatting>
  <conditionalFormatting sqref="D4 D6 D106:D108">
    <cfRule type="expression" dxfId="170" priority="51">
      <formula>$D$3="個人"</formula>
    </cfRule>
  </conditionalFormatting>
  <conditionalFormatting sqref="D10">
    <cfRule type="expression" dxfId="169" priority="52">
      <formula>D9="同じ"</formula>
    </cfRule>
  </conditionalFormatting>
  <conditionalFormatting sqref="D11">
    <cfRule type="expression" dxfId="168" priority="47">
      <formula>AND(D5="法人",NOT(D6=""),FIND(D6,D11)&gt;0)</formula>
    </cfRule>
  </conditionalFormatting>
  <conditionalFormatting sqref="D12">
    <cfRule type="expression" dxfId="167" priority="49">
      <formula>$D$11="同じ"</formula>
    </cfRule>
  </conditionalFormatting>
  <conditionalFormatting sqref="D21">
    <cfRule type="expression" dxfId="166" priority="36">
      <formula>OR(COUNTIF($D$14,"*受けない*"),COUNTIF($D$14,"*受けることなく*"))</formula>
    </cfRule>
  </conditionalFormatting>
  <conditionalFormatting sqref="D22 D28 D36">
    <cfRule type="expression" dxfId="165" priority="35">
      <formula>COUNTIF($D$15,"*受けない*")</formula>
    </cfRule>
  </conditionalFormatting>
  <conditionalFormatting sqref="D23 D29 D37">
    <cfRule type="expression" dxfId="164" priority="34">
      <formula>COUNTIF($D$16,"*受けない*")</formula>
    </cfRule>
  </conditionalFormatting>
  <conditionalFormatting sqref="D24 D30 D38">
    <cfRule type="expression" dxfId="163" priority="33">
      <formula>COUNTIF($D$17,"*受けない*")</formula>
    </cfRule>
  </conditionalFormatting>
  <conditionalFormatting sqref="D26 D69:D77">
    <cfRule type="expression" dxfId="162" priority="31">
      <formula>COUNTIF($D$19,"*受けない*")</formula>
    </cfRule>
  </conditionalFormatting>
  <conditionalFormatting sqref="D27">
    <cfRule type="expression" dxfId="161" priority="30">
      <formula>OR(COUNTIF($D$20,"*受けない*"),COUNTIF($D$20,"*受けることなく*"))</formula>
    </cfRule>
  </conditionalFormatting>
  <conditionalFormatting sqref="D36">
    <cfRule type="expression" dxfId="160" priority="1034">
      <formula>FIND("再確認",#REF!)</formula>
    </cfRule>
  </conditionalFormatting>
  <conditionalFormatting sqref="D39">
    <cfRule type="expression" dxfId="159" priority="44">
      <formula>AND(OR(COUNTIF($D$16,"*受けない*"),COUNTIF(D37,"*伴わない*")),OR(COUNTIF($D$17,"*受けない*"),COUNTIF(D38,"*伴わない*")))</formula>
    </cfRule>
  </conditionalFormatting>
  <conditionalFormatting sqref="D41">
    <cfRule type="expression" dxfId="158" priority="18">
      <formula>AND(ISNUMBER($D$34),SUM($D$34,$D$36)=0)</formula>
    </cfRule>
  </conditionalFormatting>
  <conditionalFormatting sqref="D51:D54">
    <cfRule type="expression" dxfId="157" priority="39">
      <formula>COUNTIF($D$50,"*いない*")</formula>
    </cfRule>
  </conditionalFormatting>
  <conditionalFormatting sqref="D53">
    <cfRule type="expression" dxfId="156" priority="8">
      <formula>OR($D$8=1,COUNTIF($D$50,"*いない*"))</formula>
    </cfRule>
  </conditionalFormatting>
  <conditionalFormatting sqref="D56:D57">
    <cfRule type="expression" dxfId="155" priority="38">
      <formula>COUNTIF($D$55,"*受けない*")</formula>
    </cfRule>
  </conditionalFormatting>
  <conditionalFormatting sqref="D57">
    <cfRule type="expression" dxfId="154" priority="9">
      <formula>COUNTIF($D$55,"*受けない*")</formula>
    </cfRule>
  </conditionalFormatting>
  <conditionalFormatting sqref="D66">
    <cfRule type="expression" dxfId="153" priority="24">
      <formula>$D$65="LPガスに関する業務のみを行っている"</formula>
    </cfRule>
  </conditionalFormatting>
  <conditionalFormatting sqref="D68 D25">
    <cfRule type="expression" dxfId="152" priority="32">
      <formula>COUNTIF($D$18,"*受けない*")</formula>
    </cfRule>
  </conditionalFormatting>
  <conditionalFormatting sqref="D74">
    <cfRule type="expression" dxfId="151" priority="37">
      <formula>COUNTIF(D73,"*配置していない*")</formula>
    </cfRule>
  </conditionalFormatting>
  <conditionalFormatting sqref="D76">
    <cfRule type="expression" dxfId="150" priority="16">
      <formula>AND(ISNUMBER(D$75),D$75=0)</formula>
    </cfRule>
  </conditionalFormatting>
  <conditionalFormatting sqref="D78:D81">
    <cfRule type="expression" dxfId="149" priority="40">
      <formula>FIND("受けない",$D$20)&gt;0</formula>
    </cfRule>
  </conditionalFormatting>
  <conditionalFormatting sqref="D79">
    <cfRule type="expression" dxfId="148" priority="15">
      <formula>FIND("電話以外",D78)</formula>
    </cfRule>
  </conditionalFormatting>
  <conditionalFormatting sqref="D80">
    <cfRule type="expression" dxfId="147" priority="14">
      <formula>FIND("電話で行う",$D$78)</formula>
    </cfRule>
  </conditionalFormatting>
  <conditionalFormatting sqref="D83:D93">
    <cfRule type="expression" dxfId="146" priority="28">
      <formula>$D$82="締結していない"</formula>
    </cfRule>
  </conditionalFormatting>
  <conditionalFormatting sqref="D95:D105">
    <cfRule type="expression" dxfId="145" priority="26">
      <formula>$D$94="締結していない"</formula>
    </cfRule>
  </conditionalFormatting>
  <conditionalFormatting sqref="D10:E10">
    <cfRule type="expression" dxfId="144" priority="53">
      <formula>AND(NOT($D$5=""),FIND($D$5,$D$10))</formula>
    </cfRule>
  </conditionalFormatting>
  <conditionalFormatting sqref="D35:E35">
    <cfRule type="expression" dxfId="143" priority="11">
      <formula>AND(NOT($D$35=""),NOT($D$35=SUM($D$31,$D$32,$D$33,$D$34)))</formula>
    </cfRule>
  </conditionalFormatting>
  <conditionalFormatting sqref="D41:E41">
    <cfRule type="expression" dxfId="142" priority="17">
      <formula>AND(ISNUMBER($D$34),SUM($D$34,$D$36)=0)</formula>
    </cfRule>
  </conditionalFormatting>
  <conditionalFormatting sqref="D66:E66">
    <cfRule type="expression" dxfId="141" priority="20">
      <formula>COUNTIF($D$65,"*のみ*")</formula>
    </cfRule>
  </conditionalFormatting>
  <conditionalFormatting sqref="D68:E68">
    <cfRule type="expression" dxfId="140" priority="1">
      <formula>AND(COUNTIF($D$68,"*同時に実施*"),NOT(COUNTIF($D$15,"*受ける*")),NOT(COUNTIF($D$16,"*受ける*")),NOT(COUNTIF($D$17,"*受ける*")))</formula>
    </cfRule>
  </conditionalFormatting>
  <conditionalFormatting sqref="D69:E69 D76:E76">
    <cfRule type="expression" dxfId="139" priority="29">
      <formula>COUNTIF($D$19,"*受けない*")</formula>
    </cfRule>
  </conditionalFormatting>
  <conditionalFormatting sqref="D81:E81">
    <cfRule type="expression" dxfId="138" priority="6">
      <formula>AND(NOT($D$81=""),COUNTIF($D$20,"*受ける*"),SUM(COUNTIF($D$81,"*市*"),COUNTIF($D$81,"*町*"))=0)</formula>
    </cfRule>
  </conditionalFormatting>
  <conditionalFormatting sqref="D106:E108">
    <cfRule type="expression" dxfId="137" priority="23">
      <formula>$D$3="個人"</formula>
    </cfRule>
  </conditionalFormatting>
  <conditionalFormatting sqref="E5">
    <cfRule type="expression" dxfId="136" priority="3">
      <formula>FIND("要確認",E5)</formula>
    </cfRule>
  </conditionalFormatting>
  <conditionalFormatting sqref="E53">
    <cfRule type="expression" dxfId="135" priority="7">
      <formula>OR($D$8=1,COUNTIF($D$50,"*いない*"))</formula>
    </cfRule>
  </conditionalFormatting>
  <conditionalFormatting sqref="E57">
    <cfRule type="expression" dxfId="134" priority="19">
      <formula>COUNTIF($D$55,"*受けない*")</formula>
    </cfRule>
  </conditionalFormatting>
  <conditionalFormatting sqref="E76">
    <cfRule type="expression" dxfId="133" priority="10">
      <formula>AND(ISNUMBER(D$75),D$75=0)</formula>
    </cfRule>
  </conditionalFormatting>
  <conditionalFormatting sqref="F10:F11">
    <cfRule type="expression" dxfId="132" priority="48">
      <formula>F10&gt;0</formula>
    </cfRule>
  </conditionalFormatting>
  <dataValidations count="54">
    <dataValidation type="list" allowBlank="1" showInputMessage="1" showErrorMessage="1" error="ドロップダウン リスト から選択" prompt="ドロップダウン リスト から選択" sqref="D3" xr:uid="{00000000-0002-0000-0000-000000000000}">
      <formula1>"個人,法人"</formula1>
    </dataValidation>
    <dataValidation imeMode="halfAlpha" allowBlank="1" showInputMessage="1" showErrorMessage="1" sqref="D13" xr:uid="{00000000-0002-0000-0000-000001000000}"/>
    <dataValidation type="whole" operator="greaterThanOrEqual" allowBlank="1" showInputMessage="1" showErrorMessage="1" error="正の整数で入力" prompt="正の整数で入力" sqref="D110 D8 D21:D36 D39 D42:D48 D52 D74:D75" xr:uid="{00000000-0002-0000-0000-000002000000}">
      <formula1>0</formula1>
    </dataValidation>
    <dataValidation type="list" operator="greaterThanOrEqual" allowBlank="1" showInputMessage="1" showErrorMessage="1" error="ドロップダウン リスト から選択" prompt="ドロップダウン リスト から選択" sqref="D9" xr:uid="{00000000-0002-0000-0000-000003000000}">
      <formula1>"同じ,別の名称"</formula1>
    </dataValidation>
    <dataValidation type="list" operator="greaterThanOrEqual" allowBlank="1" showInputMessage="1" showErrorMessage="1" error="ドロップダウン リスト から選択" prompt="ドロップダウン リスト から選択" sqref="D11" xr:uid="{00000000-0002-0000-0000-000004000000}">
      <formula1>"同じ,別の住所"</formula1>
    </dataValidation>
    <dataValidation type="list" allowBlank="1" showInputMessage="1" showErrorMessage="1" error="ドロップダウン リスト から選択" prompt="ドロップダウン リスト から選択" sqref="D56" xr:uid="{00000000-0002-0000-0000-000005000000}">
      <formula1>"県外の販売事業者から保安業務を受託する,県外の販売事業者から保安業務を受けない"</formula1>
    </dataValidation>
    <dataValidation type="list" allowBlank="1" showInputMessage="1" showErrorMessage="1" error="ドロップダウン リスト から選択" prompt="ドロップダウン リスト から選択" sqref="D4" xr:uid="{00000000-0002-0000-0000-000006000000}">
      <formula1>"一般社団法人,株式会社、有限会社,合名会社、合資会社、合同会社,事業協同組合、事業協同小組合、企業組合、農業協同組合,協同組合連合会、農業協同組合連合会,その他の法人"</formula1>
    </dataValidation>
    <dataValidation type="list" allowBlank="1" showInputMessage="1" showErrorMessage="1" prompt="ドロップダウン リスト から選択" sqref="D72" xr:uid="{00000000-0002-0000-0000-000007000000}">
      <formula1>"緊急時対応に出動するための手段を専有している,緊急時対応に出動するための手段を専有していない"</formula1>
    </dataValidation>
    <dataValidation type="list" allowBlank="1" showInputMessage="1" showErrorMessage="1" error="ドロップダウン リスト から選択" prompt="ドロップダウン リスト から選択" sqref="D73" xr:uid="{00000000-0002-0000-0000-000008000000}">
      <formula1>"保安業務資格者を事業所に常時(365日、24時間)配置する,保安業務資格者を事業所に配置していないときがある"</formula1>
    </dataValidation>
    <dataValidation operator="greaterThanOrEqual" allowBlank="1" showInputMessage="1" showErrorMessage="1" error="正の整数で入力" sqref="D76 D53 D111" xr:uid="{00000000-0002-0000-0000-000009000000}"/>
    <dataValidation type="list" imeMode="halfAlpha" allowBlank="1" showInputMessage="1" showErrorMessage="1" error="ドロップダウン リスト から選択" prompt="ドロップダウン リスト から選択" sqref="D14" xr:uid="{00000000-0002-0000-0000-00000A000000}">
      <formula1>"規則関係通達第29号により認定を受けることなく業務を行う,供給開始時点検・調査の認定を受ける,供給開始時点検・調査の認定を受けない"</formula1>
    </dataValidation>
    <dataValidation type="list" imeMode="halfAlpha" allowBlank="1" showInputMessage="1" showErrorMessage="1" error="ドロップダウン リスト から選択" prompt="ドロップダウン リスト から選択" sqref="D15" xr:uid="{00000000-0002-0000-0000-00000B000000}">
      <formula1>"容器交換時等供給設備点検の認定を受ける,容器交換時等供給設備点検の認定を受けない"</formula1>
    </dataValidation>
    <dataValidation type="list" imeMode="halfAlpha" allowBlank="1" showInputMessage="1" showErrorMessage="1" error="ドロップダウン リスト から選択" prompt="ドロップダウン リスト から選択" sqref="D16" xr:uid="{00000000-0002-0000-0000-00000C000000}">
      <formula1>"定期供給設備点検の認定を受ける,定期供給設備点検の認定を受けない"</formula1>
    </dataValidation>
    <dataValidation type="list" imeMode="halfAlpha" allowBlank="1" showInputMessage="1" showErrorMessage="1" error="ドロップダウン リスト から選択" prompt="ドロップダウン リスト から選択" sqref="D17" xr:uid="{00000000-0002-0000-0000-00000D000000}">
      <formula1>"定期消費設備調査の認定を受ける,定期消費設備調査の認定を受けない"</formula1>
    </dataValidation>
    <dataValidation type="list" imeMode="halfAlpha" allowBlank="1" showInputMessage="1" showErrorMessage="1" error="ドロップダウン リスト から選択" prompt="ドロップダウン リスト から選択" sqref="D18" xr:uid="{00000000-0002-0000-0000-00000E000000}">
      <formula1>"周知の認定を受ける,周知の認定を受けない"</formula1>
    </dataValidation>
    <dataValidation type="list" imeMode="halfAlpha" allowBlank="1" showInputMessage="1" showErrorMessage="1" error="ドロップダウン リスト から選択" prompt="ドロップダウン リスト から選択" sqref="D19" xr:uid="{00000000-0002-0000-0000-00000F000000}">
      <formula1>"緊急時対応の認定を受ける,緊急時対応の認定を受けない"</formula1>
    </dataValidation>
    <dataValidation type="list" imeMode="halfAlpha" allowBlank="1" showInputMessage="1" showErrorMessage="1" error="ドロップダウン リスト から選択" prompt="ドロップダウン リスト から選択" sqref="D20" xr:uid="{00000000-0002-0000-0000-000010000000}">
      <formula1>"規則関係通達第29号により認定を受けることなく業務を行う,緊急時連絡の認定を受ける,緊急時連絡の認定を受けない"</formula1>
    </dataValidation>
    <dataValidation type="list" allowBlank="1" showInputMessage="1" showErrorMessage="1" error="ドロップダウン リスト から選択" prompt="ドロップダウン リスト から選択" sqref="D77" xr:uid="{00000000-0002-0000-0000-000011000000}">
      <formula1>"集中監視システムを全ての一般消費者等に導入している,集中監視システムを一部の一般消費者等に導入している,集中監視システムを導入していない"</formula1>
    </dataValidation>
    <dataValidation type="list" allowBlank="1" showInputMessage="1" showErrorMessage="1" prompt="ドロップダウン リスト から選択" sqref="D94 D82" xr:uid="{00000000-0002-0000-0000-000012000000}">
      <formula1>"締結している,締結していない"</formula1>
    </dataValidation>
    <dataValidation type="list" allowBlank="1" showInputMessage="1" showErrorMessage="1" error="ドロップダウン リスト から選択" prompt="ドロップダウン リスト から選択" sqref="D50" xr:uid="{00000000-0002-0000-0000-000013000000}">
      <formula1>"LPガス販売事業を行っている,LPガス販売事業を行っていない"</formula1>
    </dataValidation>
    <dataValidation type="list" allowBlank="1" showInputMessage="1" showErrorMessage="1" error="ドロップダウン リスト から選択" prompt="ドロップダウン リスト から選択" sqref="D51" xr:uid="{00000000-0002-0000-0000-000014000000}">
      <formula1>"滋賀県外にLPガス販売所がある,滋賀県外にLPガス販売所はない"</formula1>
    </dataValidation>
    <dataValidation type="list" allowBlank="1" showInputMessage="1" error="ドロップダウン リスト から選択" sqref="D64" xr:uid="{00000000-0002-0000-0000-000015000000}">
      <formula1>"なし"</formula1>
    </dataValidation>
    <dataValidation type="list" allowBlank="1" showInputMessage="1" showErrorMessage="1" error="ドロップダウン リスト から選択" prompt="ドロップダウン リスト から選択" sqref="D54" xr:uid="{00000000-0002-0000-0000-000016000000}">
      <formula1>"自社が販売する一般消費者等へ保安業務を行う,自社が販売する一般消費者等へ保安業務を行わない"</formula1>
    </dataValidation>
    <dataValidation type="list" allowBlank="1" showInputMessage="1" showErrorMessage="1" error="ドロップダウン リスト から選択" prompt="ドロップダウン リスト から選択" sqref="D55" xr:uid="{00000000-0002-0000-0000-000017000000}">
      <formula1>"他の販売事業者から保安業務を受託する,他の販売事業者から保安業務を受けない"</formula1>
    </dataValidation>
    <dataValidation type="list" allowBlank="1" showInputMessage="1" showErrorMessage="1" prompt="ドロップダウン リスト から選択" sqref="D100 D88" xr:uid="{00000000-0002-0000-0000-000018000000}">
      <formula1>"法令違反が原因の事故については補償されない,法令違反が原因の事故について補償が免責ではない"</formula1>
    </dataValidation>
    <dataValidation type="list" allowBlank="1" showInputMessage="1" showErrorMessage="1" prompt="ドロップダウン リスト から選択" sqref="D101 D89" xr:uid="{00000000-0002-0000-0000-000019000000}">
      <formula1>"保険期間中の保険金支払額に制限がある,保険期間中の保険金支払額に制限がない"</formula1>
    </dataValidation>
    <dataValidation type="list" allowBlank="1" showInputMessage="1" showErrorMessage="1" error="ドロップダウン リスト から選択" prompt="ドロップダウン リスト から選択" sqref="D58" xr:uid="{00000000-0002-0000-0000-00001A000000}">
      <formula1>"工業用LPガスの販売を行っている,工業用LPガスの販売は行っていない"</formula1>
    </dataValidation>
    <dataValidation type="list" allowBlank="1" showInputMessage="1" showErrorMessage="1" error="ドロップダウン リスト から選択" prompt="ドロップダウン リスト から選択" sqref="D62" xr:uid="{00000000-0002-0000-0000-00001B000000}">
      <formula1>"LPガス器具の販売を行っている,LPガス器具の販売は行っていない"</formula1>
    </dataValidation>
    <dataValidation type="list" allowBlank="1" showInputMessage="1" showErrorMessage="1" error="ドロップダウン リスト から選択" prompt="ドロップダウン リスト から選択" sqref="D59" xr:uid="{00000000-0002-0000-0000-00001C000000}">
      <formula1>"LPガスの充てん業務を行っている,LPガスの充てん業務は行っていない"</formula1>
    </dataValidation>
    <dataValidation type="list" allowBlank="1" showInputMessage="1" showErrorMessage="1" error="ドロップダウン リスト から選択" prompt="ドロップダウン リスト から選択" sqref="D60" xr:uid="{00000000-0002-0000-0000-00001D000000}">
      <formula1>"LPガスの製造業務を行っている,LPガスの製造業務は行っていない"</formula1>
    </dataValidation>
    <dataValidation type="list" allowBlank="1" showInputMessage="1" showErrorMessage="1" error="ドロップダウン リスト から選択" prompt="ドロップダウン リスト から選択" sqref="D61" xr:uid="{00000000-0002-0000-0000-00001E000000}">
      <formula1>"LPガスの配送業務を行っている,LPガスの配送業務は行っていない"</formula1>
    </dataValidation>
    <dataValidation type="list" allowBlank="1" showInputMessage="1" showErrorMessage="1" error="ドロップダウン リスト から選択" prompt="ドロップダウン リスト から選択" sqref="D63" xr:uid="{00000000-0002-0000-0000-00001F000000}">
      <formula1>"LPガス配管または設備の工事を行っている,LPガス配管または設備の工事は行っていない"</formula1>
    </dataValidation>
    <dataValidation type="list" allowBlank="1" showInputMessage="1" showErrorMessage="1" error="ドロップダウン リスト から選択" prompt="ドロップダウン リスト から選択" sqref="D65" xr:uid="{00000000-0002-0000-0000-000020000000}">
      <formula1>"LPガスに関する業務以外の業務を行っている,LPガスに関する業務のみを行っている"</formula1>
    </dataValidation>
    <dataValidation allowBlank="1" showInputMessage="1" error="ドロップダウン リスト から選択" sqref="D66" xr:uid="{00000000-0002-0000-0000-000021000000}"/>
    <dataValidation operator="greaterThanOrEqual" allowBlank="1" showInputMessage="1" showErrorMessage="1" sqref="D49" xr:uid="{00000000-0002-0000-0000-000022000000}"/>
    <dataValidation type="list" operator="greaterThanOrEqual" allowBlank="1" showInputMessage="1" showErrorMessage="1" error="正の整数で入力" prompt="ドロップダウン リスト から選択" sqref="D37" xr:uid="{00000000-0002-0000-0000-000023000000}">
      <formula1>"定期供給設備点検に補助員を伴わない,補助員を伴って定期供給設備点検を実施する"</formula1>
    </dataValidation>
    <dataValidation type="list" operator="greaterThanOrEqual" allowBlank="1" showInputMessage="1" showErrorMessage="1" error="正の整数で入力" prompt="ドロップダウン リスト から選択" sqref="D38" xr:uid="{00000000-0002-0000-0000-000024000000}">
      <formula1>"定期消費設備調査に補助員を伴わない,補助員を伴って定期消費設備調査を実施する"</formula1>
    </dataValidation>
    <dataValidation type="list" allowBlank="1" showInputMessage="1" showErrorMessage="1" prompt="ドロップダウン リスト から選択" sqref="D78" xr:uid="{00000000-0002-0000-0000-000025000000}">
      <formula1>"緊急時連絡の受信を電話で行う,緊急時連絡の受信を電話以外で行う"</formula1>
    </dataValidation>
    <dataValidation type="list" allowBlank="1" showInputMessage="1" showErrorMessage="1" prompt="ドロップダウン リスト から選択" sqref="D68" xr:uid="{00000000-0002-0000-0000-000026000000}">
      <formula1>"周知を他の保安業務と同時に実施しない,周知を容器交換時等供給設備点検、定期供給設備点検、定期消費設備調査のうちの一又は二以上の保安業務と同時に実施"</formula1>
    </dataValidation>
    <dataValidation type="date" imeMode="halfAlpha" allowBlank="1" showInputMessage="1" showErrorMessage="1" error="20**/**/**　で入力" prompt="20**/**/**形式で入力" sqref="D2" xr:uid="{00000000-0002-0000-0000-000027000000}">
      <formula1>36617</formula1>
      <formula2>56704</formula2>
    </dataValidation>
    <dataValidation type="list" allowBlank="1" showInputMessage="1" showErrorMessage="1" prompt="ドロップダウン リスト から選択" sqref="D67" xr:uid="{00000000-0002-0000-0000-000028000000}">
      <formula1>"保安業務以外の業務中でも、適確に保安業務を行う体制を整えている,保安業務以外の業務中は、保安業務の適確な遂行に支障を及ぼすおそれがある"</formula1>
    </dataValidation>
    <dataValidation allowBlank="1" showInputMessage="1" showErrorMessage="1" prompt="記載例：代表取締役　滋賀　太郎" sqref="D6" xr:uid="{00000000-0002-0000-0000-00002D000000}"/>
    <dataValidation allowBlank="1" showInputMessage="1" showErrorMessage="1" prompt="記載例：大津市京町四丁目１番１号_x000a_※滋賀県外の場合は、都道府県名から記載" sqref="D7" xr:uid="{00000000-0002-0000-0000-00002E000000}"/>
    <dataValidation allowBlank="1" showInputMessage="1" showErrorMessage="1" prompt="申請者が「個人」の場合は個人の名前を記載_x000a_※販売所の名称は「事業所の名称」に記載" sqref="D5" xr:uid="{00000000-0002-0000-0000-00002F000000}"/>
    <dataValidation allowBlank="1" showInputMessage="1" showErrorMessage="1" prompt="自動車、オートバイ等を記載" sqref="D70" xr:uid="{00000000-0002-0000-0000-000030000000}"/>
    <dataValidation allowBlank="1" showInputMessage="1" showErrorMessage="1" prompt="記載例：滋賀●●●△■■-■■_x000a_※複数台所有していても、１台のみの記載で可" sqref="D71" xr:uid="{00000000-0002-0000-0000-000031000000}"/>
    <dataValidation imeMode="halfAlpha" allowBlank="1" showInputMessage="1" showErrorMessage="1" prompt="記載例：●●●●-●●-●●●●" sqref="D79" xr:uid="{00000000-0002-0000-0000-000032000000}"/>
    <dataValidation allowBlank="1" showInputMessage="1" showErrorMessage="1" prompt="住所で記載" sqref="D81" xr:uid="{00000000-0002-0000-0000-000033000000}"/>
    <dataValidation type="list" allowBlank="1" showInputMessage="1" sqref="D83 D95" xr:uid="{00000000-0002-0000-0000-000034000000}">
      <formula1>"東京海上日動火災保険株式会社,損害保険ジャパン株式会社"</formula1>
    </dataValidation>
    <dataValidation type="list" allowBlank="1" showInputMessage="1" sqref="D84" xr:uid="{00000000-0002-0000-0000-000035000000}">
      <formula1>"LPガス販売事業者賠償責任保険"</formula1>
    </dataValidation>
    <dataValidation type="list" allowBlank="1" showInputMessage="1" sqref="D96" xr:uid="{00000000-0002-0000-0000-000036000000}">
      <formula1>"LPガス受託認定保安機関賠償責任保険"</formula1>
    </dataValidation>
    <dataValidation type="whole" operator="greaterThanOrEqual" allowBlank="1" showInputMessage="1" showErrorMessage="1" error="正の整数で入力" prompt="正の整数で、[億円]単位で入力" sqref="D85:D87 D97:D99" xr:uid="{00000000-0002-0000-0000-000037000000}">
      <formula1>0</formula1>
    </dataValidation>
    <dataValidation type="whole" operator="greaterThanOrEqual" allowBlank="1" showInputMessage="1" showErrorMessage="1" error="正の整数で入力" prompt="正の整数で、[万円]単位で入力" sqref="D90 D91 D92 D102 D103 D104" xr:uid="{00000000-0002-0000-0000-000039000000}">
      <formula1>0</formula1>
    </dataValidation>
    <dataValidation type="whole" operator="greaterThanOrEqual" allowBlank="1" showInputMessage="1" showErrorMessage="1" error="正の整数で入力" prompt="正の整数で、[円]単位で入力" sqref="D93 D105" xr:uid="{00000000-0002-0000-0000-00003A000000}">
      <formula1>0</formula1>
    </dataValidation>
  </dataValidations>
  <hyperlinks>
    <hyperlink ref="E57" location="'滋様13-1別'!B6" display="シート「滋様13-1別」へ移動" xr:uid="{00000000-0004-0000-0000-000000000000}"/>
    <hyperlink ref="E69" location="'滋様13-2'!A6" display="シート「滋様13-2」へ移動" xr:uid="{00000000-0004-0000-0000-000001000000}"/>
    <hyperlink ref="E76" location="'滋様13-3'!A18" display="シート「滋様13-3」へ移動" xr:uid="{00000000-0004-0000-0000-000002000000}"/>
    <hyperlink ref="E106" location="'滋様13-5'!B8" display="シート「滋様13-5」へ移動" xr:uid="{00000000-0004-0000-0000-000003000000}"/>
    <hyperlink ref="E107" location="'滋様13-5'!B20" display="シート「滋様13-5」へ移動" xr:uid="{00000000-0004-0000-0000-000004000000}"/>
    <hyperlink ref="E66" location="'滋様13-6'!B19" display="シート「滋様13-6」へ移動" xr:uid="{00000000-0004-0000-0000-000005000000}"/>
    <hyperlink ref="E108" location="'滋様13-7'!A15" display="シート「滋様13-7」へ移動" xr:uid="{00000000-0004-0000-0000-000006000000}"/>
    <hyperlink ref="E40" location="'滋様13-10'!A16" display="シート「滋様13-10」へ移動" xr:uid="{00000000-0004-0000-0000-000007000000}"/>
    <hyperlink ref="E41" location="'滋様13-11'!A16" display="シート「滋様13-10」へ移動" xr:uid="{00000000-0004-0000-0000-000008000000}"/>
    <hyperlink ref="E49" location="'滋様13-12'!A16" display="シート「滋様13-12」へ移動" xr:uid="{00000000-0004-0000-0000-000009000000}"/>
    <hyperlink ref="E53" location="'滋様13-1別'!B6" display="シート「滋様13-1別」へ移動" xr:uid="{00000000-0004-0000-0000-00000A000000}"/>
    <hyperlink ref="D111" location="証紙貼付!A1" display="シート「証紙貼付」へ移動" xr:uid="{00000000-0004-0000-0000-00000B000000}"/>
    <hyperlink ref="E109" location="様式14別紙!A5" display="シート「様式14別紙」へ移動" xr:uid="{00000000-0004-0000-0000-00000C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AQ76"/>
  <sheetViews>
    <sheetView topLeftCell="A10" workbookViewId="0">
      <selection activeCell="N12" sqref="N12:AO12"/>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70</v>
      </c>
      <c r="I1" s="166" t="str">
        <f>IF(COUNTIF(AQ13,"*受けない*"),"提出不要",IF(COUNTIF(AQ1:AQ100,"*未入力*"),"未入力あり",""))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O2" s="3"/>
    </row>
    <row r="3" spans="1:43" ht="18.600000000000001" customHeight="1" x14ac:dyDescent="0.15">
      <c r="A3" s="256" t="s">
        <v>71</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c r="A4" s="164" t="str">
        <f>"事業所の名称："&amp;IF(AQ6="個人",IF(AQ8="同じ",AQ7,AQ9),AQ7&amp;"　"&amp;AQ9)</f>
        <v>事業所の名称：○○株式会社　</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row>
    <row r="5" spans="1:43" ht="18.600000000000001" customHeight="1" x14ac:dyDescent="0.15">
      <c r="A5" s="164" t="str">
        <f>"事業所の所在地："&amp;IF(AQ12="",AQ10,AQ12)</f>
        <v>事業所の所在地：○○市○○町１－２－２０</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row>
    <row r="6" spans="1:43" x14ac:dyDescent="0.15">
      <c r="AQ6" s="2" t="str">
        <f>IF(入力!D3="",様式14!$AQ$5&amp;様式14!$AR$5&amp;ROW(入力!D3)&amp;" 未入力",入力!D3)</f>
        <v>法人</v>
      </c>
    </row>
    <row r="7" spans="1:43" ht="18.600000000000001" customHeight="1" x14ac:dyDescent="0.15">
      <c r="A7" s="249" t="s">
        <v>72</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Q7" s="2" t="str">
        <f>IF(入力!D5="",様式14!$AQ$5&amp;様式14!$AR$5&amp;ROW(入力!D5)&amp;" 未入力",入力!D5)</f>
        <v>○○株式会社</v>
      </c>
    </row>
    <row r="8" spans="1:43" ht="18.600000000000001" customHeight="1" x14ac:dyDescent="0.15">
      <c r="A8" s="164" t="str">
        <f>"　・手動するための手段：添付写真のとおり（車両番号："&amp;AQ15&amp;"）"</f>
        <v>　・手動するための手段：添付写真のとおり（車両番号：滋賀●●●△■■-■■）</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Q8" s="2" t="str">
        <f>IF(入力!D9="",様式14!$AQ$5&amp;様式14!$AR$5&amp;ROW(入力!D9)&amp;" 未入力",入力!D9)</f>
        <v>同じ</v>
      </c>
    </row>
    <row r="9" spans="1:43" ht="18.600000000000001" customHeight="1" x14ac:dyDescent="0.15">
      <c r="A9" s="164" t="str">
        <f>"　・その専有状況："&amp;IF(COUNTIF(AQ16,"*専有している*"),"■","□")&amp;"専有している　"&amp;IF(COUNTIF(AQ16,"*専有していない*"),"■","□")&amp;"専有していない"</f>
        <v>　・その専有状況：■専有している　□専有していない</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IF(AQ8="同じ","",IF(入力!D10="",様式14!$AQ$5&amp;様式14!$AR$5&amp;ROW(入力!D10)&amp;" 未入力",入力!D10))</f>
        <v/>
      </c>
    </row>
    <row r="10" spans="1:43" x14ac:dyDescent="0.15">
      <c r="AQ10" s="2" t="str">
        <f>IF(入力!D7="",様式14!$AQ$5&amp;様式14!$AR$5&amp;ROW(入力!D7)&amp;" 未入力",入力!D7)</f>
        <v>○○市○○町１－２－２０</v>
      </c>
    </row>
    <row r="11" spans="1:43" ht="18.600000000000001" customHeight="1" x14ac:dyDescent="0.15">
      <c r="A11" s="249" t="s">
        <v>73</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Q11" s="2" t="str">
        <f>IF(入力!D11="",様式14!$AQ$5&amp;様式14!$AR$5&amp;ROW(入力!D11)&amp;" 未入力",入力!D11)</f>
        <v>同じ</v>
      </c>
    </row>
    <row r="12" spans="1:43" ht="26.1" customHeight="1" x14ac:dyDescent="0.15">
      <c r="A12" s="164" t="s">
        <v>487</v>
      </c>
      <c r="B12" s="165"/>
      <c r="C12" s="165"/>
      <c r="D12" s="165"/>
      <c r="E12" s="165"/>
      <c r="F12" s="165"/>
      <c r="G12" s="165"/>
      <c r="H12" s="165"/>
      <c r="I12" s="165"/>
      <c r="J12" s="165"/>
      <c r="K12" s="165"/>
      <c r="L12" s="165"/>
      <c r="M12" s="165"/>
      <c r="N12" s="211" t="str">
        <f>IF(COUNTIF(AQ17,"*電話で行う*"),AQ18,AQ19)</f>
        <v>●●●●-●●-●●●●</v>
      </c>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Q12" s="2" t="str">
        <f>IF(AQ11="同じ","",IF(入力!D12="",様式14!$AQ$5&amp;様式14!$AR$5&amp;ROW(入力!D12)&amp;" 未入力",入力!D12))</f>
        <v/>
      </c>
    </row>
    <row r="13" spans="1:43" ht="26.1" customHeight="1" x14ac:dyDescent="0.15">
      <c r="A13" s="164" t="s">
        <v>127</v>
      </c>
      <c r="B13" s="165"/>
      <c r="C13" s="165"/>
      <c r="D13" s="165"/>
      <c r="E13" s="165"/>
      <c r="F13" s="165"/>
      <c r="G13" s="165"/>
      <c r="H13" s="165"/>
      <c r="I13" s="165"/>
      <c r="J13" s="165"/>
      <c r="K13" s="165"/>
      <c r="L13" s="165"/>
      <c r="M13" s="211" t="str">
        <f>AQ20</f>
        <v>○○市○○町１－２－２１</v>
      </c>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Q13" s="2" t="str">
        <f>IF(入力!D19="",様式14!$AQ$5&amp;様式14!$AR$5&amp;ROW(入力!D19)&amp;" 未入力",入力!D19)</f>
        <v>緊急時対応の認定を受ける</v>
      </c>
    </row>
    <row r="14" spans="1:43" ht="18.600000000000001" customHeight="1" x14ac:dyDescent="0.15">
      <c r="A14" s="164" t="s">
        <v>128</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Q14" s="2" t="str">
        <f>IF(入力!D20="",様式14!$AQ$5&amp;様式14!$AR$5&amp;ROW(入力!D20)&amp;" 未入力",入力!D20)</f>
        <v>規則関係通達第29号により認定を受けることなく業務を行う</v>
      </c>
    </row>
    <row r="15" spans="1:43" ht="18.600000000000001" customHeight="1" x14ac:dyDescent="0.15">
      <c r="A15" s="164" t="str">
        <f>"　　"&amp;IF(COUNTIF(AQ21,"*配置する*")=0,"□","■")&amp;"保安業務資格者を常時事業所に配置（配置する数 "&amp;AQ22&amp;" 人）　"&amp;IF(COUNTIF(AQ21,"*配置していない*")=0,"□","■")&amp;"常時配置ではない"</f>
        <v>　　□保安業務資格者を常時事業所に配置（配置する数  人）　■常時配置ではない</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Q15" s="2" t="str">
        <f>IF(COUNTIF(AQ13,"*受けない*"),"",IF(入力!D71="",様式14!$AQ$5&amp;様式14!$AR$5&amp;ROW(入力!D71)&amp;" 未入力",入力!D71))</f>
        <v>滋賀●●●△■■-■■</v>
      </c>
    </row>
    <row r="16" spans="1:43" ht="18.600000000000001" customHeight="1" x14ac:dyDescent="0.15">
      <c r="A16" s="164" t="str">
        <f>"　・事業所以外で、10分以内に事業所に到着できる場所に配置する保安業務資格者の数： "&amp;AQ23&amp;" 人"</f>
        <v>　・事業所以外で、10分以内に事業所に到着できる場所に配置する保安業務資格者の数： 2 人</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Q16" s="2" t="str">
        <f>IF(COUNTIF(AQ13,"*受けない*"),"",IF(入力!D72="",様式14!$AQ$5&amp;様式14!$AR$5&amp;ROW(入力!D72)&amp;" 未入力",入力!D72))</f>
        <v>緊急時対応に出動するための手段を専有している</v>
      </c>
    </row>
    <row r="17" spans="1:43" ht="18.600000000000001" customHeight="1" x14ac:dyDescent="0.15">
      <c r="A17" s="164" t="s">
        <v>129</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Q17" s="2" t="str">
        <f>IF(COUNTIF(AQ14,"*受けない*"),"－",IF(入力!D78="",様式14!$AQ$5&amp;様式14!$AR$5&amp;ROW(入力!D78)&amp;" 未入力",入力!D78))</f>
        <v>緊急時連絡の受信を電話で行う</v>
      </c>
    </row>
    <row r="18" spans="1:43" ht="18.600000000000001" customHeight="1" x14ac:dyDescent="0.15">
      <c r="A18" s="5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9"/>
      <c r="AQ18" s="2" t="str">
        <f>IF(COUNTIF(AQ14,"*受けない*"),"－",IF(入力!D79="",様式14!$AQ$5&amp;様式14!$AR$5&amp;ROW(入力!D79)&amp;" 未入力",入力!D79))</f>
        <v>●●●●-●●-●●●●</v>
      </c>
    </row>
    <row r="19" spans="1:43" ht="18.600000000000001" customHeight="1" x14ac:dyDescent="0.15">
      <c r="A19" s="60"/>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2"/>
      <c r="AQ19" s="2" t="str">
        <f>IF(OR(COUNTIF(AQ14,"*受けない*"),COUNTIF(AQ17,"*電話で行う*")),"－",IF(入力!D80="",様式14!$AQ$5&amp;様式14!$AR$5&amp;ROW(入力!D80)&amp;" 未入力",入力!D80))</f>
        <v>－</v>
      </c>
    </row>
    <row r="20" spans="1:43" ht="18.600000000000001" customHeight="1" x14ac:dyDescent="0.15">
      <c r="A20" s="60"/>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2"/>
      <c r="AQ20" s="2" t="str">
        <f>IF(COUNTIF(AQ14,"*受けない*"),"－",IF(入力!D81="",様式14!$AQ$5&amp;様式14!$AR$5&amp;ROW(入力!D81)&amp;" 未入力",入力!D81))</f>
        <v>○○市○○町１－２－２１</v>
      </c>
    </row>
    <row r="21" spans="1:43" ht="18.600000000000001" customHeight="1" x14ac:dyDescent="0.15">
      <c r="A21" s="60"/>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Q21" s="2" t="str">
        <f>IF(COUNTIF(AQ13,"*受けない*"),"",IF(入力!D73="",様式14!$AQ$5&amp;様式14!$AR$5&amp;ROW(入力!D73)&amp;" 未入力",入力!D73))</f>
        <v>保安業務資格者を事業所に配置していないときがある</v>
      </c>
    </row>
    <row r="22" spans="1:43" ht="18.600000000000001" customHeight="1" x14ac:dyDescent="0.15">
      <c r="A22" s="60"/>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2"/>
      <c r="AQ22" s="2" t="str">
        <f>IF(OR(COUNTIF(AQ13,"*受けない*"),COUNTIF(入力!D73,"*配置していない*")),"",IF(入力!D74="",様式14!$AQ$5&amp;様式14!$AR$5&amp;ROW(入力!D74)&amp;" 未入力",入力!D74))</f>
        <v/>
      </c>
    </row>
    <row r="23" spans="1:43" ht="18.600000000000001" customHeight="1" x14ac:dyDescent="0.15">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2"/>
      <c r="AQ23" s="2">
        <f>IF(COUNTIF(AQ13,"*受けない*"),"",IF(入力!D75="",様式14!$AQ$5&amp;様式14!$AR$5&amp;ROW(入力!D75)&amp;" 未入力",入力!D75))</f>
        <v>2</v>
      </c>
    </row>
    <row r="24" spans="1:43" ht="18.600000000000001" customHeight="1" x14ac:dyDescent="0.15">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2"/>
    </row>
    <row r="25" spans="1:43" ht="18.600000000000001" customHeight="1" x14ac:dyDescent="0.15">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2"/>
    </row>
    <row r="26" spans="1:43" ht="18.600000000000001" customHeight="1" x14ac:dyDescent="0.15">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2"/>
    </row>
    <row r="27" spans="1:43" ht="18.600000000000001" customHeight="1" x14ac:dyDescent="0.15">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2"/>
    </row>
    <row r="28" spans="1:43" ht="18.600000000000001" customHeight="1" x14ac:dyDescent="0.15">
      <c r="A28" s="63" t="s">
        <v>221</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5"/>
    </row>
    <row r="29" spans="1:43" ht="18.600000000000001" customHeight="1" x14ac:dyDescent="0.15">
      <c r="A29" s="63" t="s">
        <v>222</v>
      </c>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5"/>
    </row>
    <row r="30" spans="1:43" ht="18.600000000000001" customHeight="1" x14ac:dyDescent="0.15">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2"/>
    </row>
    <row r="31" spans="1:43" ht="18.600000000000001" customHeight="1" x14ac:dyDescent="0.15">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2"/>
    </row>
    <row r="32" spans="1:43" ht="18.600000000000001" customHeight="1" x14ac:dyDescent="0.15">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2"/>
    </row>
    <row r="33" spans="1:43" ht="18.600000000000001" customHeight="1" x14ac:dyDescent="0.15">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2"/>
    </row>
    <row r="34" spans="1:43" ht="18.600000000000001" customHeight="1" x14ac:dyDescent="0.15">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2"/>
    </row>
    <row r="35" spans="1:43" ht="18.600000000000001" customHeight="1" x14ac:dyDescent="0.15">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2"/>
    </row>
    <row r="36" spans="1:43" ht="18.600000000000001" customHeight="1"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2"/>
    </row>
    <row r="37" spans="1:43" ht="18.600000000000001"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2"/>
    </row>
    <row r="38" spans="1:43" ht="18.600000000000001" customHeight="1" x14ac:dyDescent="0.15">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2"/>
    </row>
    <row r="39" spans="1:43" ht="18.600000000000001" customHeight="1" x14ac:dyDescent="0.15">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55"/>
    </row>
    <row r="41" spans="1:43" ht="18.600000000000001" customHeight="1" x14ac:dyDescent="0.15">
      <c r="A41" s="249" t="str">
        <f>"3. 集中監視システム導入の有無："&amp;IF(COUNTIF(AQ41,"*全て*"),"■全ての一般消費者等に導入　□一部の一般消費者等に導入　□",IF(COUNTIF(AQ41,"*一部*"),"□全ての一般消費者等に導入　■一部の一般消費者等に導入　□",IF(COUNTIF(AQ41,"*いない*"),"□全ての一般消費者等に導入　□一部の一般消費者等に導入　■")))&amp;"導入なし"</f>
        <v>3. 集中監視システム導入の有無：□全ての一般消費者等に導入　■一部の一般消費者等に導入　□導入なし</v>
      </c>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Q41" s="2" t="str">
        <f>IF(COUNTIF(入力!D19,"*受けない*"),"",IF(入力!D77="",様式14!$AQ$5&amp;様式14!$AR$5&amp;ROW(入力!D77)&amp;" 未入力",入力!D77))</f>
        <v>集中監視システムを一部の一般消費者等に導入している</v>
      </c>
    </row>
    <row r="43" spans="1:43" ht="15.95" customHeight="1" x14ac:dyDescent="0.15">
      <c r="A43" s="276" t="s">
        <v>67</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row>
    <row r="44" spans="1:43" ht="18.600000000000001" customHeight="1" x14ac:dyDescent="0.15"/>
    <row r="45" spans="1:43" ht="18.600000000000001" customHeight="1" x14ac:dyDescent="0.15"/>
    <row r="46" spans="1:43" ht="18.600000000000001" customHeight="1" x14ac:dyDescent="0.15"/>
    <row r="47" spans="1:43" ht="18.600000000000001" customHeight="1" x14ac:dyDescent="0.15"/>
    <row r="48" spans="1:43" ht="18.600000000000001" customHeight="1" x14ac:dyDescent="0.15"/>
    <row r="49" spans="1:1" ht="18.600000000000001" customHeight="1" x14ac:dyDescent="0.15">
      <c r="A49" s="14"/>
    </row>
    <row r="50" spans="1:1" ht="18.600000000000001" customHeight="1" x14ac:dyDescent="0.15"/>
    <row r="51" spans="1:1" ht="18.600000000000001" customHeight="1" x14ac:dyDescent="0.15"/>
    <row r="52" spans="1:1" ht="18.600000000000001" customHeight="1" x14ac:dyDescent="0.15"/>
    <row r="53" spans="1:1" ht="18.600000000000001" customHeight="1" x14ac:dyDescent="0.15"/>
    <row r="54" spans="1:1" ht="18.600000000000001" customHeight="1" x14ac:dyDescent="0.15"/>
    <row r="55" spans="1:1" ht="18.600000000000001" customHeight="1" x14ac:dyDescent="0.15"/>
    <row r="56" spans="1:1" ht="18.600000000000001" customHeight="1" x14ac:dyDescent="0.15"/>
    <row r="57" spans="1:1" ht="18.600000000000001" customHeight="1" x14ac:dyDescent="0.15"/>
    <row r="58" spans="1:1" ht="18.600000000000001" customHeight="1" x14ac:dyDescent="0.15"/>
    <row r="59" spans="1:1" ht="18.600000000000001" customHeight="1" x14ac:dyDescent="0.15"/>
    <row r="60" spans="1:1" ht="18.600000000000001" customHeight="1" x14ac:dyDescent="0.15"/>
    <row r="61" spans="1:1" ht="18.600000000000001" customHeight="1" x14ac:dyDescent="0.15"/>
    <row r="62" spans="1:1" ht="18.600000000000001" customHeight="1" x14ac:dyDescent="0.15"/>
    <row r="63" spans="1:1" ht="18.600000000000001" customHeight="1" x14ac:dyDescent="0.15"/>
    <row r="64" spans="1:1"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sheetData>
  <sheetProtection sheet="1" scenarios="1"/>
  <mergeCells count="18">
    <mergeCell ref="A43:AO43"/>
    <mergeCell ref="A7:AO7"/>
    <mergeCell ref="A8:AO8"/>
    <mergeCell ref="A9:AO9"/>
    <mergeCell ref="A11:AO11"/>
    <mergeCell ref="A14:AO14"/>
    <mergeCell ref="A15:AO15"/>
    <mergeCell ref="A16:AO16"/>
    <mergeCell ref="A17:AO17"/>
    <mergeCell ref="A41:AO41"/>
    <mergeCell ref="A12:M12"/>
    <mergeCell ref="N12:AO12"/>
    <mergeCell ref="A13:L13"/>
    <mergeCell ref="A5:AO5"/>
    <mergeCell ref="I1:AO1"/>
    <mergeCell ref="A3:AO3"/>
    <mergeCell ref="A4:AO4"/>
    <mergeCell ref="M13:AO13"/>
  </mergeCells>
  <phoneticPr fontId="1"/>
  <conditionalFormatting sqref="I1">
    <cfRule type="expression" dxfId="83" priority="3">
      <formula>I1="未入力あり"</formula>
    </cfRule>
  </conditionalFormatting>
  <conditionalFormatting sqref="I1:AO1">
    <cfRule type="expression" dxfId="82" priority="4">
      <formula>$I$1="提出不要"</formula>
    </cfRule>
  </conditionalFormatting>
  <conditionalFormatting sqref="AQ1:AQ100">
    <cfRule type="expression" dxfId="81" priority="1">
      <formula>FIND("未入力",AQ1)</formula>
    </cfRule>
    <cfRule type="expression" dxfId="80"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AQ69"/>
  <sheetViews>
    <sheetView topLeftCell="A16" workbookViewId="0">
      <selection activeCell="A4" sqref="A4:AO4"/>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74</v>
      </c>
      <c r="I1" s="166" t="str">
        <f>IF(COUNTIF(AQ1:AQ100,"*未入力*"),"未入力あり","")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2" s="248" t="str">
        <f>"事業者名："&amp;AQ6</f>
        <v>事業者名：○○株式会社</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row>
    <row r="3" spans="1:43" ht="18.600000000000001" customHeight="1" x14ac:dyDescent="0.15">
      <c r="AO3" s="3"/>
    </row>
    <row r="4" spans="1:43" ht="18.600000000000001" customHeight="1" x14ac:dyDescent="0.15">
      <c r="A4" s="256" t="s">
        <v>79</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row>
    <row r="5" spans="1:43" ht="18.600000000000001" customHeight="1" x14ac:dyDescent="0.15"/>
    <row r="6" spans="1:43" ht="18.600000000000001" customHeight="1" x14ac:dyDescent="0.15">
      <c r="A6" s="249" t="s">
        <v>75</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Q6" s="2" t="str">
        <f>IF(入力!D5="",様式14!$AQ$5&amp;様式14!$AR$5&amp;ROW(入力!D5)&amp;" 未入力",入力!D5)</f>
        <v>○○株式会社</v>
      </c>
    </row>
    <row r="7" spans="1:43" ht="18.600000000000001" customHeight="1" x14ac:dyDescent="0.15">
      <c r="A7" s="164" t="str">
        <f>" (1) 保険者名："&amp;AQ8</f>
        <v xml:space="preserve"> (1) 保険者名：東京海上日動火災保険株式会社</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Q7" s="2" t="str">
        <f>IF(入力!D82="",様式14!$AQ$5&amp;様式14!$AR$5&amp;ROW(入力!D82)&amp;" 未入力",入力!D82)</f>
        <v>締結している</v>
      </c>
    </row>
    <row r="8" spans="1:43" ht="18.600000000000001" customHeight="1" x14ac:dyDescent="0.15">
      <c r="A8" s="164" t="str">
        <f>" (2) 保険の名称："&amp;AQ9</f>
        <v xml:space="preserve"> (2) 保険の名称：LPガス販売事業者賠償責任保険</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Q8" s="2" t="str">
        <f>IF(AQ7="締結していない","自社販売に係る損賠賠償責任保険の契約締結なし",IF(入力!D83="",様式14!$AQ$5&amp;様式14!$AR$5&amp;ROW(入力!D83)&amp;" 未入力",入力!D83))</f>
        <v>東京海上日動火災保険株式会社</v>
      </c>
    </row>
    <row r="9" spans="1:43" ht="18.600000000000001" customHeight="1" x14ac:dyDescent="0.15">
      <c r="A9" s="164" t="s">
        <v>207</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IF(AQ7="締結していない","－",IF(入力!D84="",様式14!$AQ$5&amp;様式14!$AR$5&amp;ROW(入力!D84)&amp;" 未入力",入力!D84))</f>
        <v>LPガス販売事業者賠償責任保険</v>
      </c>
    </row>
    <row r="10" spans="1:43" ht="18.600000000000001" customHeight="1" x14ac:dyDescent="0.15">
      <c r="A10" s="164" t="str">
        <f>"　 ① 人的損害の１人当たりの限度額： "&amp;IF(ISNUMBER(AQ11),FIXED(AQ11,0),"")&amp;" 億円"</f>
        <v>　 ① 人的損害の１人当たりの限度額： 50 億円</v>
      </c>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row>
    <row r="11" spans="1:43" ht="18.600000000000001" customHeight="1" x14ac:dyDescent="0.15">
      <c r="A11" s="164" t="str">
        <f>"　 ② 人的損害の１事故当たりの合計の限度額： "&amp;IF(ISNUMBER(AQ12),FIXED(AQ12,0),"")&amp;" 億円"</f>
        <v>　 ② 人的損害の１事故当たりの合計の限度額： 50 億円</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Q11" s="2">
        <f>IF(AQ7="締結していない",0,IF(入力!D85="",様式14!$AQ$5&amp;様式14!$AR$5&amp;ROW(入力!D85)&amp;" 未入力",入力!D85))</f>
        <v>50</v>
      </c>
    </row>
    <row r="12" spans="1:43" ht="18.600000000000001" customHeight="1" x14ac:dyDescent="0.15">
      <c r="A12" s="164" t="str">
        <f>"　 ③ 物的損害の１事故当たりの限度額： "&amp;IF(ISNUMBER(AQ13),FIXED(AQ13,0),"")&amp;" 億円"</f>
        <v>　 ③ 物的損害の１事故当たりの限度額： 50 億円</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Q12" s="2">
        <f>IF(AQ7="締結していない",0,IF(入力!D86="",様式14!$AQ$5&amp;様式14!$AR$5&amp;ROW(入力!D86)&amp;" 未入力",入力!D86))</f>
        <v>50</v>
      </c>
    </row>
    <row r="13" spans="1:43" ht="18.600000000000001" customHeight="1" x14ac:dyDescent="0.15">
      <c r="A13" s="164" t="str">
        <f>" (4) 法令違反が原因の事故についての補償の免責："&amp;IF(COUNTIF(AQ14,"*補償されない*"),"■","□")&amp;"あり　"&amp;IF(COUNTIF(AQ14,"*ではない*"),"■","□")&amp;"なし"</f>
        <v xml:space="preserve"> (4) 法令違反が原因の事故についての補償の免責：□あり　■なし</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Q13" s="2">
        <f>IF(AQ7="締結していない",0,IF(入力!D87="",様式14!$AQ$5&amp;様式14!$AR$5&amp;ROW(入力!D87)&amp;" 未入力",入力!D87))</f>
        <v>50</v>
      </c>
    </row>
    <row r="14" spans="1:43" ht="18.600000000000001" customHeight="1" x14ac:dyDescent="0.15">
      <c r="A14" s="164" t="str">
        <f>" (5) 保険期間中の保険金支払額の制限："&amp;IF(COUNTIF(AQ15,"*ある*"),"■","□")&amp;"あり　"&amp;IF(COUNTIF(AQ15,"*ない*"),"■","□")&amp;"なし"</f>
        <v xml:space="preserve"> (5) 保険期間中の保険金支払額の制限：□あり　■なし</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Q14" s="2" t="str">
        <f>IF(AQ7="締結していない","",IF(入力!D88="",様式14!$AQ$5&amp;様式14!$AR$5&amp;ROW(入力!D88)&amp;" 未入力",入力!D88))</f>
        <v>法令違反が原因の事故について補償が免責ではない</v>
      </c>
    </row>
    <row r="15" spans="1:43" ht="18.600000000000001" customHeight="1" x14ac:dyDescent="0.15">
      <c r="A15" s="164" t="s">
        <v>204</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Q15" s="2" t="str">
        <f>IF(AQ7="締結していない","",IF(入力!D89="",様式14!$AQ$5&amp;様式14!$AR$5&amp;ROW(入力!D89)&amp;" 未入力",入力!D89))</f>
        <v>保険期間中の保険金支払額に制限がない</v>
      </c>
    </row>
    <row r="16" spans="1:43" ht="18.600000000000001" customHeight="1" x14ac:dyDescent="0.15">
      <c r="A16" s="164" t="str">
        <f>"　 ① 人的損害の１人当たりの限度額： "&amp;IF(ISNUMBER(AQ17),FIXED(AQ17,0),"")&amp;" 万円"</f>
        <v>　 ① 人的損害の１人当たりの限度額： 50 万円</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row>
    <row r="17" spans="1:43" ht="18.600000000000001" customHeight="1" x14ac:dyDescent="0.15">
      <c r="A17" s="164" t="str">
        <f>"　 ② 物的損害の１事故当たりの限度額： "&amp;IF(ISNUMBER(AQ18),FIXED(AQ18,0),"")&amp;" 万円"</f>
        <v>　 ② 物的損害の１事故当たりの限度額： 10 万円</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Q17" s="2">
        <f>IF(AQ7="締結していない",0,IF(入力!D90="",様式14!$AQ$5&amp;様式14!$AR$5&amp;ROW(入力!D90)&amp;" 未入力",入力!D90))</f>
        <v>50</v>
      </c>
    </row>
    <row r="18" spans="1:43" ht="18.600000000000001" customHeight="1" x14ac:dyDescent="0.15">
      <c r="A18" s="164" t="str">
        <f>"　 ③ １事故当たりの合計の限度額： "&amp;IF(ISNUMBER(AQ19),FIXED(AQ19,0),"")&amp;" 万円"</f>
        <v>　 ③ １事故当たりの合計の限度額： 100 万円</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Q18" s="2">
        <f>IF(AQ7="締結していない",0,IF(入力!D91="",様式14!$AQ$5&amp;様式14!$AR$5&amp;ROW(入力!D91)&amp;" 未入力",入力!D91))</f>
        <v>10</v>
      </c>
    </row>
    <row r="19" spans="1:43" ht="18.600000000000001" customHeight="1" x14ac:dyDescent="0.15">
      <c r="A19" s="164" t="str">
        <f>" (7) 免責金額： "&amp;IF(ISNUMBER(AQ20),FIXED(AQ20,0),"")&amp;" 円"</f>
        <v xml:space="preserve"> (7) 免責金額： 0 円</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Q19" s="2">
        <f>IF(AQ7="締結していない",0,IF(入力!D92="",様式14!$AQ$5&amp;様式14!$AR$5&amp;ROW(入力!D92)&amp;" 未入力",入力!D92))</f>
        <v>100</v>
      </c>
    </row>
    <row r="20" spans="1:43" ht="18.600000000000001" customHeight="1" x14ac:dyDescent="0.15">
      <c r="AQ20" s="2">
        <f>IF(AQ7="締結していない","－",IF(入力!D93="",様式14!$AQ$5&amp;様式14!$AR$5&amp;ROW(入力!D93)&amp;" 未入力",入力!D93))</f>
        <v>0</v>
      </c>
    </row>
    <row r="21" spans="1:43" ht="18.600000000000001" customHeight="1" x14ac:dyDescent="0.15">
      <c r="A21" s="249" t="s">
        <v>76</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row>
    <row r="22" spans="1:43" ht="18.600000000000001" customHeight="1" x14ac:dyDescent="0.15">
      <c r="A22" s="164" t="str">
        <f>" (1) 保険者名："&amp;AQ23</f>
        <v xml:space="preserve"> (1) 保険者名：受託に係る損賠賠償責任保険の契約締結なし</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Q22" s="2" t="str">
        <f>IF(入力!D94="",様式14!$AQ$5&amp;様式14!$AR$5&amp;ROW(入力!D94)&amp;" 未入力",入力!D94)</f>
        <v>締結していない</v>
      </c>
    </row>
    <row r="23" spans="1:43" ht="18.600000000000001" customHeight="1" x14ac:dyDescent="0.15">
      <c r="A23" s="164" t="str">
        <f>" (2) 保険の名称："&amp;AQ24</f>
        <v xml:space="preserve"> (2) 保険の名称：－</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Q23" s="2" t="str">
        <f>IF(AQ22="締結していない","受託に係る損賠賠償責任保険の契約締結なし",IF(入力!D95="",様式14!$AQ$5&amp;様式14!$AR$5&amp;ROW(入力!D95)&amp;" 未入力",入力!D95))</f>
        <v>受託に係る損賠賠償責任保険の契約締結なし</v>
      </c>
    </row>
    <row r="24" spans="1:43" ht="18.600000000000001" customHeight="1" x14ac:dyDescent="0.15">
      <c r="A24" s="164" t="s">
        <v>205</v>
      </c>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Q24" s="2" t="str">
        <f>IF(AQ22="締結していない","－",IF(入力!D96="",様式14!$AQ$5&amp;様式14!$AR$5&amp;ROW(入力!D96)&amp;" 未入力",入力!D96))</f>
        <v>－</v>
      </c>
    </row>
    <row r="25" spans="1:43" ht="18.600000000000001" customHeight="1" x14ac:dyDescent="0.15">
      <c r="A25" s="164" t="str">
        <f>"　 ① 人的損害の１人当たりの限度額： "&amp;IF(ISNUMBER(AQ26),FIXED(AQ26,0),"")&amp;" 億円"</f>
        <v>　 ① 人的損害の１人当たりの限度額： 0 億円</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row>
    <row r="26" spans="1:43" ht="18.600000000000001" customHeight="1" x14ac:dyDescent="0.15">
      <c r="A26" s="164" t="str">
        <f>"　 ② 人的損害の１事故当たりの合計の限度額： "&amp;IF(ISNUMBER(AQ27),FIXED(AQ27,0),"")&amp;" 億円"</f>
        <v>　 ② 人的損害の１事故当たりの合計の限度額： 0 億円</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Q26" s="2">
        <f>IF(AQ22="締結していない",0,IF(入力!D97="",様式14!$AQ$5&amp;様式14!$AR$5&amp;ROW(入力!D97)&amp;" 未入力",入力!D97))</f>
        <v>0</v>
      </c>
    </row>
    <row r="27" spans="1:43" ht="18.600000000000001" customHeight="1" x14ac:dyDescent="0.15">
      <c r="A27" s="164" t="str">
        <f>"　 ③ 物的損害の１事故当たりの限度額： "&amp;IF(ISNUMBER(AQ28),FIXED(AQ28,0),"")&amp;" 億円"</f>
        <v>　 ③ 物的損害の１事故当たりの限度額： 0 億円</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Q27" s="2">
        <f>IF(AQ22="締結していない",0,IF(入力!D98="",様式14!$AQ$5&amp;様式14!$AR$5&amp;ROW(入力!D98)&amp;" 未入力",入力!D98))</f>
        <v>0</v>
      </c>
    </row>
    <row r="28" spans="1:43" ht="18.600000000000001" customHeight="1" x14ac:dyDescent="0.15">
      <c r="A28" s="164" t="str">
        <f>" (4) 法令違反が原因の事故についての補償の免責："&amp;IF(COUNTIF(AQ29,"*補償されない*"),"■","□")&amp;"あり　"&amp;IF(COUNTIF(AQ29,"*ではない*"),"■","□")&amp;"なし"</f>
        <v xml:space="preserve"> (4) 法令違反が原因の事故についての補償の免責：□あり　□なし</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Q28" s="2">
        <f>IF(AQ22="締結していない",0,IF(入力!D99="",様式14!$AQ$5&amp;様式14!$AR$5&amp;ROW(入力!D99)&amp;" 未入力",入力!D99))</f>
        <v>0</v>
      </c>
    </row>
    <row r="29" spans="1:43" ht="18.600000000000001" customHeight="1" x14ac:dyDescent="0.15">
      <c r="A29" s="164" t="str">
        <f>" (5) 保険期間中の保険金支払額の制限："&amp;IF(COUNTIF(AQ30,"*ある*"),"■","□")&amp;"あり　"&amp;IF(COUNTIF(AQ30,"*ない*"),"■","□")&amp;"なし"</f>
        <v xml:space="preserve"> (5) 保険期間中の保険金支払額の制限：□あり　□なし</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Q29" s="2" t="str">
        <f>IF(AQ22="締結していない","",IF(入力!D100="",様式14!$AQ$5&amp;様式14!$AR$5&amp;ROW(入力!D100)&amp;" 未入力",入力!D100))</f>
        <v/>
      </c>
    </row>
    <row r="30" spans="1:43" ht="18.600000000000001" customHeight="1" x14ac:dyDescent="0.15">
      <c r="A30" s="164" t="s">
        <v>206</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Q30" s="2" t="str">
        <f>IF(AQ22="締結していない","",IF(入力!D101="",様式14!$AQ$5&amp;様式14!$AR$5&amp;ROW(入力!D101)&amp;" 未入力",入力!D101))</f>
        <v/>
      </c>
    </row>
    <row r="31" spans="1:43" ht="18.600000000000001" customHeight="1" x14ac:dyDescent="0.15">
      <c r="A31" s="164" t="str">
        <f>"　 ① 人的損害の１人当たりの限度額： "&amp;IF(ISNUMBER(AQ32),FIXED(AQ32,0),"")&amp;" 万円"</f>
        <v>　 ① 人的損害の１人当たりの限度額： 0 万円</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row>
    <row r="32" spans="1:43" ht="18.600000000000001" customHeight="1" x14ac:dyDescent="0.15">
      <c r="A32" s="164" t="str">
        <f>"　 ② 物的損害の１事故当たりの限度額： "&amp;IF(ISNUMBER(AQ33),FIXED(AQ33,0),"")&amp;" 万円"</f>
        <v>　 ② 物的損害の１事故当たりの限度額： 0 万円</v>
      </c>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Q32" s="2">
        <f>IF(AQ22="締結していない",0,IF(入力!D102="",様式14!$AQ$5&amp;様式14!$AR$5&amp;ROW(入力!D102)&amp;" 未入力",入力!D102))</f>
        <v>0</v>
      </c>
    </row>
    <row r="33" spans="1:43" ht="18.600000000000001" customHeight="1" x14ac:dyDescent="0.15">
      <c r="A33" s="164" t="str">
        <f>"　 ③ １事故当たりの合計の限度額： "&amp;IF(ISNUMBER(AQ34),FIXED(AQ34,0),"")&amp;" 万円"</f>
        <v>　 ③ １事故当たりの合計の限度額： 0 万円</v>
      </c>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Q33" s="2">
        <f>IF(AQ22="締結していない",0,IF(入力!D103="",様式14!$AQ$5&amp;様式14!$AR$5&amp;ROW(入力!D103)&amp;" 未入力",入力!D103))</f>
        <v>0</v>
      </c>
    </row>
    <row r="34" spans="1:43" ht="18.600000000000001" customHeight="1" x14ac:dyDescent="0.15">
      <c r="A34" s="164" t="str">
        <f>" (7) 免責金額： "&amp;IF(ISNUMBER(AQ35),FIXED(AQ35,0),"")&amp;" 円"</f>
        <v xml:space="preserve"> (7) 免責金額：  円</v>
      </c>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Q34" s="2">
        <f>IF(AQ22="締結していない",0,IF(入力!D104="",様式14!$AQ$5&amp;様式14!$AR$5&amp;ROW(入力!D104)&amp;" 未入力",入力!D104))</f>
        <v>0</v>
      </c>
    </row>
    <row r="35" spans="1:43" ht="18.600000000000001" customHeight="1" x14ac:dyDescent="0.15">
      <c r="AQ35" s="2" t="str">
        <f>IF(AQ22="締結していない","－",IF(入力!D105="",様式14!$AQ$5&amp;様式14!$AR$5&amp;ROW(入力!D105)&amp;" 未入力",入力!D105))</f>
        <v>－</v>
      </c>
    </row>
    <row r="36" spans="1:43" ht="15.95" customHeight="1" x14ac:dyDescent="0.15">
      <c r="A36" s="164" t="s">
        <v>77</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row>
    <row r="37" spans="1:43" ht="15.95" customHeight="1" x14ac:dyDescent="0.15">
      <c r="A37" s="164" t="s">
        <v>78</v>
      </c>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row>
    <row r="38" spans="1:43" ht="18.600000000000001" customHeight="1" x14ac:dyDescent="0.15"/>
    <row r="39" spans="1:43" ht="18.600000000000001" customHeight="1" x14ac:dyDescent="0.15"/>
    <row r="40" spans="1:43" ht="18.600000000000001" customHeight="1" x14ac:dyDescent="0.15"/>
    <row r="41" spans="1:43" ht="18.600000000000001" customHeight="1" x14ac:dyDescent="0.15"/>
    <row r="42" spans="1:43" ht="18.600000000000001" customHeight="1" x14ac:dyDescent="0.15">
      <c r="A42" s="14"/>
    </row>
    <row r="43" spans="1:43" ht="18.600000000000001" customHeight="1" x14ac:dyDescent="0.15"/>
    <row r="44" spans="1:43" ht="18.600000000000001" customHeight="1" x14ac:dyDescent="0.15"/>
    <row r="45" spans="1:43" ht="18.600000000000001" customHeight="1" x14ac:dyDescent="0.15"/>
    <row r="46" spans="1:43" ht="18.600000000000001" customHeight="1" x14ac:dyDescent="0.15"/>
    <row r="47" spans="1:43" ht="18.600000000000001" customHeight="1" x14ac:dyDescent="0.15"/>
    <row r="48" spans="1:43"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sheetData>
  <sheetProtection sheet="1" objects="1" scenarios="1"/>
  <mergeCells count="33">
    <mergeCell ref="A2:AO2"/>
    <mergeCell ref="I1:AO1"/>
    <mergeCell ref="A4:AO4"/>
    <mergeCell ref="A36:AO36"/>
    <mergeCell ref="A37:AO37"/>
    <mergeCell ref="A6:AO6"/>
    <mergeCell ref="A7:AO7"/>
    <mergeCell ref="A8:AO8"/>
    <mergeCell ref="A9:AO9"/>
    <mergeCell ref="A10:AO10"/>
    <mergeCell ref="A11:AO11"/>
    <mergeCell ref="A12:AO12"/>
    <mergeCell ref="A13:AO13"/>
    <mergeCell ref="A14:AO14"/>
    <mergeCell ref="A15:AO15"/>
    <mergeCell ref="A16:AO16"/>
    <mergeCell ref="A17:AO17"/>
    <mergeCell ref="A18:AO18"/>
    <mergeCell ref="A19:AO19"/>
    <mergeCell ref="A21:AO21"/>
    <mergeCell ref="A22:AO22"/>
    <mergeCell ref="A23:AO23"/>
    <mergeCell ref="A24:AO24"/>
    <mergeCell ref="A25:AO25"/>
    <mergeCell ref="A26:AO26"/>
    <mergeCell ref="A27:AO27"/>
    <mergeCell ref="A28:AO28"/>
    <mergeCell ref="A34:AO34"/>
    <mergeCell ref="A29:AO29"/>
    <mergeCell ref="A30:AO30"/>
    <mergeCell ref="A31:AO31"/>
    <mergeCell ref="A32:AO32"/>
    <mergeCell ref="A33:AO33"/>
  </mergeCells>
  <phoneticPr fontId="1"/>
  <conditionalFormatting sqref="I1">
    <cfRule type="expression" dxfId="79" priority="3">
      <formula>I1="未入力あり"</formula>
    </cfRule>
  </conditionalFormatting>
  <conditionalFormatting sqref="AQ1:AQ100">
    <cfRule type="expression" dxfId="78" priority="1">
      <formula>FIND("未入力",AQ1)</formula>
    </cfRule>
    <cfRule type="expression" dxfId="7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A1:AQ69"/>
  <sheetViews>
    <sheetView workbookViewId="0">
      <selection activeCell="B9" sqref="B9:I9"/>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80</v>
      </c>
      <c r="I1" s="166" t="str">
        <f>IF(AQ6="個人","提出不要",IF(COUNTIF(AQ1:AQ100,"*未入力*"),"未入力あり",""))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2" s="248" t="str">
        <f>"事業者名："&amp;AQ5</f>
        <v>事業者名：○○株式会社</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1:43" ht="18.600000000000001" customHeight="1" x14ac:dyDescent="0.15">
      <c r="AO3" s="3"/>
    </row>
    <row r="4" spans="1:43" ht="18.600000000000001" customHeight="1" x14ac:dyDescent="0.15">
      <c r="A4" s="256" t="s">
        <v>81</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row>
    <row r="5" spans="1:43" ht="18.600000000000001" customHeight="1" x14ac:dyDescent="0.15">
      <c r="A5" s="14" t="s">
        <v>82</v>
      </c>
      <c r="AQ5" s="2" t="str">
        <f>IF(入力!D5="",様式14!$AQ$5&amp;様式14!$AR$5&amp;ROW(入力!D5)&amp;" 未入力",入力!D5)</f>
        <v>○○株式会社</v>
      </c>
    </row>
    <row r="6" spans="1:43" x14ac:dyDescent="0.15">
      <c r="B6" s="289" t="s">
        <v>83</v>
      </c>
      <c r="C6" s="289"/>
      <c r="D6" s="289"/>
      <c r="E6" s="289"/>
      <c r="F6" s="289"/>
      <c r="G6" s="289"/>
      <c r="H6" s="289"/>
      <c r="I6" s="289"/>
      <c r="J6" s="289" t="s">
        <v>92</v>
      </c>
      <c r="K6" s="289"/>
      <c r="L6" s="289"/>
      <c r="M6" s="289"/>
      <c r="N6" s="289"/>
      <c r="O6" s="289"/>
      <c r="P6" s="289"/>
      <c r="Q6" s="289" t="s">
        <v>84</v>
      </c>
      <c r="R6" s="289"/>
      <c r="S6" s="289"/>
      <c r="T6" s="289"/>
      <c r="U6" s="289"/>
      <c r="V6" s="289"/>
      <c r="W6" s="289"/>
      <c r="X6" s="289"/>
      <c r="Y6" s="289"/>
      <c r="Z6" s="289"/>
      <c r="AA6" s="289"/>
      <c r="AB6" s="289"/>
      <c r="AC6" s="289"/>
      <c r="AD6" s="289"/>
      <c r="AE6" s="289"/>
      <c r="AF6" s="289"/>
      <c r="AG6" s="289"/>
      <c r="AH6" s="289"/>
      <c r="AI6" s="289"/>
      <c r="AJ6" s="289"/>
      <c r="AK6" s="284" t="s">
        <v>85</v>
      </c>
      <c r="AL6" s="284"/>
      <c r="AM6" s="284"/>
      <c r="AN6" s="284"/>
      <c r="AO6" s="284"/>
      <c r="AQ6" s="2" t="str">
        <f>IF(入力!D3="",様式14!$AQ$5&amp;様式14!$AR$5&amp;ROW(入力!D3)&amp;" 未入力",入力!D3)</f>
        <v>法人</v>
      </c>
    </row>
    <row r="7" spans="1:43" x14ac:dyDescent="0.15">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5" t="s">
        <v>86</v>
      </c>
      <c r="AL7" s="285"/>
      <c r="AM7" s="285"/>
      <c r="AN7" s="285"/>
      <c r="AO7" s="285"/>
      <c r="AQ7" s="2" t="str">
        <f>IF(入力!D4="",様式14!$AQ$5&amp;様式14!$AR$5&amp;ROW(入力!D4)&amp;" 未入力",入力!D4)</f>
        <v>株式会社、有限会社</v>
      </c>
    </row>
    <row r="8" spans="1:43" ht="18.600000000000001" customHeight="1" x14ac:dyDescent="0.15">
      <c r="B8" s="278"/>
      <c r="C8" s="278"/>
      <c r="D8" s="278"/>
      <c r="E8" s="278"/>
      <c r="F8" s="278"/>
      <c r="G8" s="278"/>
      <c r="H8" s="278"/>
      <c r="I8" s="278"/>
      <c r="J8" s="175"/>
      <c r="K8" s="175"/>
      <c r="L8" s="175"/>
      <c r="M8" s="175"/>
      <c r="N8" s="175"/>
      <c r="O8" s="175"/>
      <c r="P8" s="175"/>
      <c r="Q8" s="278"/>
      <c r="R8" s="278"/>
      <c r="S8" s="278"/>
      <c r="T8" s="278"/>
      <c r="U8" s="278"/>
      <c r="V8" s="278"/>
      <c r="W8" s="278"/>
      <c r="X8" s="278"/>
      <c r="Y8" s="278"/>
      <c r="Z8" s="278"/>
      <c r="AA8" s="278"/>
      <c r="AB8" s="278"/>
      <c r="AC8" s="278"/>
      <c r="AD8" s="278"/>
      <c r="AE8" s="278"/>
      <c r="AF8" s="278"/>
      <c r="AG8" s="278"/>
      <c r="AH8" s="278"/>
      <c r="AI8" s="278"/>
      <c r="AJ8" s="278"/>
      <c r="AK8" s="279"/>
      <c r="AL8" s="279"/>
      <c r="AM8" s="279"/>
      <c r="AN8" s="279"/>
      <c r="AO8" s="279"/>
    </row>
    <row r="9" spans="1:43" ht="18.600000000000001" customHeight="1" x14ac:dyDescent="0.15">
      <c r="B9" s="278"/>
      <c r="C9" s="278"/>
      <c r="D9" s="278"/>
      <c r="E9" s="278"/>
      <c r="F9" s="278"/>
      <c r="G9" s="278"/>
      <c r="H9" s="278"/>
      <c r="I9" s="278"/>
      <c r="J9" s="175"/>
      <c r="K9" s="175"/>
      <c r="L9" s="175"/>
      <c r="M9" s="175"/>
      <c r="N9" s="175"/>
      <c r="O9" s="175"/>
      <c r="P9" s="175"/>
      <c r="Q9" s="278"/>
      <c r="R9" s="278"/>
      <c r="S9" s="278"/>
      <c r="T9" s="278"/>
      <c r="U9" s="278"/>
      <c r="V9" s="278"/>
      <c r="W9" s="278"/>
      <c r="X9" s="278"/>
      <c r="Y9" s="278"/>
      <c r="Z9" s="278"/>
      <c r="AA9" s="278"/>
      <c r="AB9" s="278"/>
      <c r="AC9" s="278"/>
      <c r="AD9" s="278"/>
      <c r="AE9" s="278"/>
      <c r="AF9" s="278"/>
      <c r="AG9" s="278"/>
      <c r="AH9" s="278"/>
      <c r="AI9" s="278"/>
      <c r="AJ9" s="278"/>
      <c r="AK9" s="279"/>
      <c r="AL9" s="279"/>
      <c r="AM9" s="279"/>
      <c r="AN9" s="279"/>
      <c r="AO9" s="279"/>
    </row>
    <row r="10" spans="1:43" ht="18.600000000000001" customHeight="1" x14ac:dyDescent="0.15">
      <c r="B10" s="278"/>
      <c r="C10" s="278"/>
      <c r="D10" s="278"/>
      <c r="E10" s="278"/>
      <c r="F10" s="278"/>
      <c r="G10" s="278"/>
      <c r="H10" s="278"/>
      <c r="I10" s="278"/>
      <c r="J10" s="175"/>
      <c r="K10" s="175"/>
      <c r="L10" s="175"/>
      <c r="M10" s="175"/>
      <c r="N10" s="175"/>
      <c r="O10" s="175"/>
      <c r="P10" s="175"/>
      <c r="Q10" s="278"/>
      <c r="R10" s="278"/>
      <c r="S10" s="278"/>
      <c r="T10" s="278"/>
      <c r="U10" s="278"/>
      <c r="V10" s="278"/>
      <c r="W10" s="278"/>
      <c r="X10" s="278"/>
      <c r="Y10" s="278"/>
      <c r="Z10" s="278"/>
      <c r="AA10" s="278"/>
      <c r="AB10" s="278"/>
      <c r="AC10" s="278"/>
      <c r="AD10" s="278"/>
      <c r="AE10" s="278"/>
      <c r="AF10" s="278"/>
      <c r="AG10" s="278"/>
      <c r="AH10" s="278"/>
      <c r="AI10" s="278"/>
      <c r="AJ10" s="278"/>
      <c r="AK10" s="279"/>
      <c r="AL10" s="279"/>
      <c r="AM10" s="279"/>
      <c r="AN10" s="279"/>
      <c r="AO10" s="279"/>
    </row>
    <row r="11" spans="1:43" ht="18.600000000000001" customHeight="1" x14ac:dyDescent="0.15">
      <c r="B11" s="278"/>
      <c r="C11" s="278"/>
      <c r="D11" s="278"/>
      <c r="E11" s="278"/>
      <c r="F11" s="278"/>
      <c r="G11" s="278"/>
      <c r="H11" s="278"/>
      <c r="I11" s="278"/>
      <c r="J11" s="175"/>
      <c r="K11" s="175"/>
      <c r="L11" s="175"/>
      <c r="M11" s="175"/>
      <c r="N11" s="175"/>
      <c r="O11" s="175"/>
      <c r="P11" s="175"/>
      <c r="Q11" s="278"/>
      <c r="R11" s="278"/>
      <c r="S11" s="278"/>
      <c r="T11" s="278"/>
      <c r="U11" s="278"/>
      <c r="V11" s="278"/>
      <c r="W11" s="278"/>
      <c r="X11" s="278"/>
      <c r="Y11" s="278"/>
      <c r="Z11" s="278"/>
      <c r="AA11" s="278"/>
      <c r="AB11" s="278"/>
      <c r="AC11" s="278"/>
      <c r="AD11" s="278"/>
      <c r="AE11" s="278"/>
      <c r="AF11" s="278"/>
      <c r="AG11" s="278"/>
      <c r="AH11" s="278"/>
      <c r="AI11" s="278"/>
      <c r="AJ11" s="278"/>
      <c r="AK11" s="279"/>
      <c r="AL11" s="279"/>
      <c r="AM11" s="279"/>
      <c r="AN11" s="279"/>
      <c r="AO11" s="279"/>
    </row>
    <row r="12" spans="1:43" ht="18.600000000000001" customHeight="1" x14ac:dyDescent="0.15">
      <c r="B12" s="278"/>
      <c r="C12" s="278"/>
      <c r="D12" s="278"/>
      <c r="E12" s="278"/>
      <c r="F12" s="278"/>
      <c r="G12" s="278"/>
      <c r="H12" s="278"/>
      <c r="I12" s="278"/>
      <c r="J12" s="175"/>
      <c r="K12" s="175"/>
      <c r="L12" s="175"/>
      <c r="M12" s="175"/>
      <c r="N12" s="175"/>
      <c r="O12" s="175"/>
      <c r="P12" s="175"/>
      <c r="Q12" s="278"/>
      <c r="R12" s="278"/>
      <c r="S12" s="278"/>
      <c r="T12" s="278"/>
      <c r="U12" s="278"/>
      <c r="V12" s="278"/>
      <c r="W12" s="278"/>
      <c r="X12" s="278"/>
      <c r="Y12" s="278"/>
      <c r="Z12" s="278"/>
      <c r="AA12" s="278"/>
      <c r="AB12" s="278"/>
      <c r="AC12" s="278"/>
      <c r="AD12" s="278"/>
      <c r="AE12" s="278"/>
      <c r="AF12" s="278"/>
      <c r="AG12" s="278"/>
      <c r="AH12" s="278"/>
      <c r="AI12" s="278"/>
      <c r="AJ12" s="278"/>
      <c r="AK12" s="279"/>
      <c r="AL12" s="279"/>
      <c r="AM12" s="279"/>
      <c r="AN12" s="279"/>
      <c r="AO12" s="279"/>
    </row>
    <row r="13" spans="1:43" ht="18.600000000000001" customHeight="1" x14ac:dyDescent="0.15">
      <c r="B13" s="278"/>
      <c r="C13" s="278"/>
      <c r="D13" s="278"/>
      <c r="E13" s="278"/>
      <c r="F13" s="278"/>
      <c r="G13" s="278"/>
      <c r="H13" s="278"/>
      <c r="I13" s="278"/>
      <c r="J13" s="175"/>
      <c r="K13" s="175"/>
      <c r="L13" s="175"/>
      <c r="M13" s="175"/>
      <c r="N13" s="175"/>
      <c r="O13" s="175"/>
      <c r="P13" s="175"/>
      <c r="Q13" s="278"/>
      <c r="R13" s="278"/>
      <c r="S13" s="278"/>
      <c r="T13" s="278"/>
      <c r="U13" s="278"/>
      <c r="V13" s="278"/>
      <c r="W13" s="278"/>
      <c r="X13" s="278"/>
      <c r="Y13" s="278"/>
      <c r="Z13" s="278"/>
      <c r="AA13" s="278"/>
      <c r="AB13" s="278"/>
      <c r="AC13" s="278"/>
      <c r="AD13" s="278"/>
      <c r="AE13" s="278"/>
      <c r="AF13" s="278"/>
      <c r="AG13" s="278"/>
      <c r="AH13" s="278"/>
      <c r="AI13" s="278"/>
      <c r="AJ13" s="278"/>
      <c r="AK13" s="279"/>
      <c r="AL13" s="279"/>
      <c r="AM13" s="279"/>
      <c r="AN13" s="279"/>
      <c r="AO13" s="279"/>
    </row>
    <row r="14" spans="1:43" ht="18.600000000000001" customHeight="1" x14ac:dyDescent="0.15">
      <c r="B14" s="278"/>
      <c r="C14" s="278"/>
      <c r="D14" s="278"/>
      <c r="E14" s="278"/>
      <c r="F14" s="278"/>
      <c r="G14" s="278"/>
      <c r="H14" s="278"/>
      <c r="I14" s="278"/>
      <c r="J14" s="175"/>
      <c r="K14" s="175"/>
      <c r="L14" s="175"/>
      <c r="M14" s="175"/>
      <c r="N14" s="175"/>
      <c r="O14" s="175"/>
      <c r="P14" s="175"/>
      <c r="Q14" s="278"/>
      <c r="R14" s="278"/>
      <c r="S14" s="278"/>
      <c r="T14" s="278"/>
      <c r="U14" s="278"/>
      <c r="V14" s="278"/>
      <c r="W14" s="278"/>
      <c r="X14" s="278"/>
      <c r="Y14" s="278"/>
      <c r="Z14" s="278"/>
      <c r="AA14" s="278"/>
      <c r="AB14" s="278"/>
      <c r="AC14" s="278"/>
      <c r="AD14" s="278"/>
      <c r="AE14" s="278"/>
      <c r="AF14" s="278"/>
      <c r="AG14" s="278"/>
      <c r="AH14" s="278"/>
      <c r="AI14" s="278"/>
      <c r="AJ14" s="278"/>
      <c r="AK14" s="279"/>
      <c r="AL14" s="279"/>
      <c r="AM14" s="279"/>
      <c r="AN14" s="279"/>
      <c r="AO14" s="279"/>
    </row>
    <row r="15" spans="1:43" ht="18.600000000000001" customHeight="1" x14ac:dyDescent="0.15">
      <c r="B15" s="278"/>
      <c r="C15" s="278"/>
      <c r="D15" s="278"/>
      <c r="E15" s="278"/>
      <c r="F15" s="278"/>
      <c r="G15" s="278"/>
      <c r="H15" s="278"/>
      <c r="I15" s="278"/>
      <c r="J15" s="175"/>
      <c r="K15" s="175"/>
      <c r="L15" s="175"/>
      <c r="M15" s="175"/>
      <c r="N15" s="175"/>
      <c r="O15" s="175"/>
      <c r="P15" s="175"/>
      <c r="Q15" s="278"/>
      <c r="R15" s="278"/>
      <c r="S15" s="278"/>
      <c r="T15" s="278"/>
      <c r="U15" s="278"/>
      <c r="V15" s="278"/>
      <c r="W15" s="278"/>
      <c r="X15" s="278"/>
      <c r="Y15" s="278"/>
      <c r="Z15" s="278"/>
      <c r="AA15" s="278"/>
      <c r="AB15" s="278"/>
      <c r="AC15" s="278"/>
      <c r="AD15" s="278"/>
      <c r="AE15" s="278"/>
      <c r="AF15" s="278"/>
      <c r="AG15" s="278"/>
      <c r="AH15" s="278"/>
      <c r="AI15" s="278"/>
      <c r="AJ15" s="278"/>
      <c r="AK15" s="279"/>
      <c r="AL15" s="279"/>
      <c r="AM15" s="279"/>
      <c r="AN15" s="279"/>
      <c r="AO15" s="279"/>
    </row>
    <row r="16" spans="1:43" ht="18.600000000000001" customHeight="1" x14ac:dyDescent="0.15"/>
    <row r="17" spans="1:41" ht="18.600000000000001" customHeight="1" x14ac:dyDescent="0.15">
      <c r="A17" s="14" t="s">
        <v>87</v>
      </c>
    </row>
    <row r="18" spans="1:41" x14ac:dyDescent="0.15">
      <c r="B18" s="284" t="s">
        <v>88</v>
      </c>
      <c r="C18" s="284"/>
      <c r="D18" s="284"/>
      <c r="E18" s="284"/>
      <c r="F18" s="284"/>
      <c r="G18" s="284"/>
      <c r="H18" s="284"/>
      <c r="I18" s="284"/>
      <c r="J18" s="284"/>
      <c r="K18" s="284"/>
      <c r="L18" s="284"/>
      <c r="M18" s="284"/>
      <c r="N18" s="284" t="s">
        <v>89</v>
      </c>
      <c r="O18" s="284"/>
      <c r="P18" s="284"/>
      <c r="Q18" s="284"/>
      <c r="R18" s="284" t="s">
        <v>91</v>
      </c>
      <c r="S18" s="284"/>
      <c r="T18" s="284"/>
      <c r="U18" s="292"/>
      <c r="V18" s="290" t="s">
        <v>88</v>
      </c>
      <c r="W18" s="284"/>
      <c r="X18" s="284"/>
      <c r="Y18" s="284"/>
      <c r="Z18" s="284"/>
      <c r="AA18" s="284"/>
      <c r="AB18" s="284"/>
      <c r="AC18" s="284"/>
      <c r="AD18" s="284"/>
      <c r="AE18" s="284"/>
      <c r="AF18" s="284"/>
      <c r="AG18" s="284"/>
      <c r="AH18" s="284" t="s">
        <v>89</v>
      </c>
      <c r="AI18" s="284"/>
      <c r="AJ18" s="284"/>
      <c r="AK18" s="284"/>
      <c r="AL18" s="284" t="s">
        <v>91</v>
      </c>
      <c r="AM18" s="284"/>
      <c r="AN18" s="284"/>
      <c r="AO18" s="284"/>
    </row>
    <row r="19" spans="1:41" x14ac:dyDescent="0.15">
      <c r="B19" s="285"/>
      <c r="C19" s="285"/>
      <c r="D19" s="285"/>
      <c r="E19" s="285"/>
      <c r="F19" s="285"/>
      <c r="G19" s="285"/>
      <c r="H19" s="285"/>
      <c r="I19" s="285"/>
      <c r="J19" s="285"/>
      <c r="K19" s="285"/>
      <c r="L19" s="285"/>
      <c r="M19" s="285"/>
      <c r="N19" s="285" t="s">
        <v>90</v>
      </c>
      <c r="O19" s="285"/>
      <c r="P19" s="285"/>
      <c r="Q19" s="285"/>
      <c r="R19" s="285" t="s">
        <v>86</v>
      </c>
      <c r="S19" s="285"/>
      <c r="T19" s="285"/>
      <c r="U19" s="293"/>
      <c r="V19" s="291"/>
      <c r="W19" s="285"/>
      <c r="X19" s="285"/>
      <c r="Y19" s="285"/>
      <c r="Z19" s="285"/>
      <c r="AA19" s="285"/>
      <c r="AB19" s="285"/>
      <c r="AC19" s="285"/>
      <c r="AD19" s="285"/>
      <c r="AE19" s="285"/>
      <c r="AF19" s="285"/>
      <c r="AG19" s="285"/>
      <c r="AH19" s="285" t="s">
        <v>90</v>
      </c>
      <c r="AI19" s="285"/>
      <c r="AJ19" s="285"/>
      <c r="AK19" s="285"/>
      <c r="AL19" s="285" t="s">
        <v>86</v>
      </c>
      <c r="AM19" s="285"/>
      <c r="AN19" s="285"/>
      <c r="AO19" s="285"/>
    </row>
    <row r="20" spans="1:41" ht="18.600000000000001" customHeight="1" x14ac:dyDescent="0.15">
      <c r="B20" s="278"/>
      <c r="C20" s="278"/>
      <c r="D20" s="278"/>
      <c r="E20" s="278"/>
      <c r="F20" s="278"/>
      <c r="G20" s="278"/>
      <c r="H20" s="278"/>
      <c r="I20" s="278"/>
      <c r="J20" s="278"/>
      <c r="K20" s="278"/>
      <c r="L20" s="278"/>
      <c r="M20" s="278"/>
      <c r="N20" s="286"/>
      <c r="O20" s="286"/>
      <c r="P20" s="286"/>
      <c r="Q20" s="286"/>
      <c r="R20" s="279"/>
      <c r="S20" s="279"/>
      <c r="T20" s="279"/>
      <c r="U20" s="287"/>
      <c r="V20" s="288"/>
      <c r="W20" s="278"/>
      <c r="X20" s="278"/>
      <c r="Y20" s="278"/>
      <c r="Z20" s="278"/>
      <c r="AA20" s="278"/>
      <c r="AB20" s="278"/>
      <c r="AC20" s="278"/>
      <c r="AD20" s="278"/>
      <c r="AE20" s="278"/>
      <c r="AF20" s="278"/>
      <c r="AG20" s="278"/>
      <c r="AH20" s="286"/>
      <c r="AI20" s="286"/>
      <c r="AJ20" s="286"/>
      <c r="AK20" s="286"/>
      <c r="AL20" s="279"/>
      <c r="AM20" s="279"/>
      <c r="AN20" s="279"/>
      <c r="AO20" s="279"/>
    </row>
    <row r="21" spans="1:41" ht="18.600000000000001" customHeight="1" x14ac:dyDescent="0.15">
      <c r="B21" s="278"/>
      <c r="C21" s="278"/>
      <c r="D21" s="278"/>
      <c r="E21" s="278"/>
      <c r="F21" s="278"/>
      <c r="G21" s="278"/>
      <c r="H21" s="278"/>
      <c r="I21" s="278"/>
      <c r="J21" s="278"/>
      <c r="K21" s="278"/>
      <c r="L21" s="278"/>
      <c r="M21" s="278"/>
      <c r="N21" s="286"/>
      <c r="O21" s="286"/>
      <c r="P21" s="286"/>
      <c r="Q21" s="286"/>
      <c r="R21" s="279"/>
      <c r="S21" s="279"/>
      <c r="T21" s="279"/>
      <c r="U21" s="287"/>
      <c r="V21" s="288"/>
      <c r="W21" s="278"/>
      <c r="X21" s="278"/>
      <c r="Y21" s="278"/>
      <c r="Z21" s="278"/>
      <c r="AA21" s="278"/>
      <c r="AB21" s="278"/>
      <c r="AC21" s="278"/>
      <c r="AD21" s="278"/>
      <c r="AE21" s="278"/>
      <c r="AF21" s="278"/>
      <c r="AG21" s="278"/>
      <c r="AH21" s="286"/>
      <c r="AI21" s="286"/>
      <c r="AJ21" s="286"/>
      <c r="AK21" s="286"/>
      <c r="AL21" s="279"/>
      <c r="AM21" s="279"/>
      <c r="AN21" s="279"/>
      <c r="AO21" s="279"/>
    </row>
    <row r="22" spans="1:41" ht="18.600000000000001" customHeight="1" x14ac:dyDescent="0.15">
      <c r="B22" s="278"/>
      <c r="C22" s="278"/>
      <c r="D22" s="278"/>
      <c r="E22" s="278"/>
      <c r="F22" s="278"/>
      <c r="G22" s="278"/>
      <c r="H22" s="278"/>
      <c r="I22" s="278"/>
      <c r="J22" s="278"/>
      <c r="K22" s="278"/>
      <c r="L22" s="278"/>
      <c r="M22" s="278"/>
      <c r="N22" s="286"/>
      <c r="O22" s="286"/>
      <c r="P22" s="286"/>
      <c r="Q22" s="286"/>
      <c r="R22" s="279"/>
      <c r="S22" s="279"/>
      <c r="T22" s="279"/>
      <c r="U22" s="287"/>
      <c r="V22" s="288"/>
      <c r="W22" s="278"/>
      <c r="X22" s="278"/>
      <c r="Y22" s="278"/>
      <c r="Z22" s="278"/>
      <c r="AA22" s="278"/>
      <c r="AB22" s="278"/>
      <c r="AC22" s="278"/>
      <c r="AD22" s="278"/>
      <c r="AE22" s="278"/>
      <c r="AF22" s="278"/>
      <c r="AG22" s="278"/>
      <c r="AH22" s="286"/>
      <c r="AI22" s="286"/>
      <c r="AJ22" s="286"/>
      <c r="AK22" s="286"/>
      <c r="AL22" s="279"/>
      <c r="AM22" s="279"/>
      <c r="AN22" s="279"/>
      <c r="AO22" s="279"/>
    </row>
    <row r="23" spans="1:41" ht="18.600000000000001" customHeight="1" x14ac:dyDescent="0.15">
      <c r="B23" s="278"/>
      <c r="C23" s="278"/>
      <c r="D23" s="278"/>
      <c r="E23" s="278"/>
      <c r="F23" s="278"/>
      <c r="G23" s="278"/>
      <c r="H23" s="278"/>
      <c r="I23" s="278"/>
      <c r="J23" s="278"/>
      <c r="K23" s="278"/>
      <c r="L23" s="278"/>
      <c r="M23" s="278"/>
      <c r="N23" s="286"/>
      <c r="O23" s="286"/>
      <c r="P23" s="286"/>
      <c r="Q23" s="286"/>
      <c r="R23" s="279"/>
      <c r="S23" s="279"/>
      <c r="T23" s="279"/>
      <c r="U23" s="287"/>
      <c r="V23" s="288"/>
      <c r="W23" s="278"/>
      <c r="X23" s="278"/>
      <c r="Y23" s="278"/>
      <c r="Z23" s="278"/>
      <c r="AA23" s="278"/>
      <c r="AB23" s="278"/>
      <c r="AC23" s="278"/>
      <c r="AD23" s="278"/>
      <c r="AE23" s="278"/>
      <c r="AF23" s="278"/>
      <c r="AG23" s="278"/>
      <c r="AH23" s="286"/>
      <c r="AI23" s="286"/>
      <c r="AJ23" s="286"/>
      <c r="AK23" s="286"/>
      <c r="AL23" s="279"/>
      <c r="AM23" s="279"/>
      <c r="AN23" s="279"/>
      <c r="AO23" s="279"/>
    </row>
    <row r="24" spans="1:41" ht="18.600000000000001" customHeight="1" x14ac:dyDescent="0.15">
      <c r="B24" s="278"/>
      <c r="C24" s="278"/>
      <c r="D24" s="278"/>
      <c r="E24" s="278"/>
      <c r="F24" s="278"/>
      <c r="G24" s="278"/>
      <c r="H24" s="278"/>
      <c r="I24" s="278"/>
      <c r="J24" s="278"/>
      <c r="K24" s="278"/>
      <c r="L24" s="278"/>
      <c r="M24" s="278"/>
      <c r="N24" s="286"/>
      <c r="O24" s="286"/>
      <c r="P24" s="286"/>
      <c r="Q24" s="286"/>
      <c r="R24" s="279"/>
      <c r="S24" s="279"/>
      <c r="T24" s="279"/>
      <c r="U24" s="287"/>
      <c r="V24" s="288"/>
      <c r="W24" s="278"/>
      <c r="X24" s="278"/>
      <c r="Y24" s="278"/>
      <c r="Z24" s="278"/>
      <c r="AA24" s="278"/>
      <c r="AB24" s="278"/>
      <c r="AC24" s="278"/>
      <c r="AD24" s="278"/>
      <c r="AE24" s="278"/>
      <c r="AF24" s="278"/>
      <c r="AG24" s="278"/>
      <c r="AH24" s="286"/>
      <c r="AI24" s="286"/>
      <c r="AJ24" s="286"/>
      <c r="AK24" s="286"/>
      <c r="AL24" s="279"/>
      <c r="AM24" s="279"/>
      <c r="AN24" s="279"/>
      <c r="AO24" s="279"/>
    </row>
    <row r="25" spans="1:41" ht="18.600000000000001" customHeight="1" x14ac:dyDescent="0.15">
      <c r="B25" s="278"/>
      <c r="C25" s="278"/>
      <c r="D25" s="278"/>
      <c r="E25" s="278"/>
      <c r="F25" s="278"/>
      <c r="G25" s="278"/>
      <c r="H25" s="278"/>
      <c r="I25" s="278"/>
      <c r="J25" s="278"/>
      <c r="K25" s="278"/>
      <c r="L25" s="278"/>
      <c r="M25" s="278"/>
      <c r="N25" s="286"/>
      <c r="O25" s="286"/>
      <c r="P25" s="286"/>
      <c r="Q25" s="286"/>
      <c r="R25" s="279"/>
      <c r="S25" s="279"/>
      <c r="T25" s="279"/>
      <c r="U25" s="287"/>
      <c r="V25" s="288"/>
      <c r="W25" s="278"/>
      <c r="X25" s="278"/>
      <c r="Y25" s="278"/>
      <c r="Z25" s="278"/>
      <c r="AA25" s="278"/>
      <c r="AB25" s="278"/>
      <c r="AC25" s="278"/>
      <c r="AD25" s="278"/>
      <c r="AE25" s="278"/>
      <c r="AF25" s="278"/>
      <c r="AG25" s="278"/>
      <c r="AH25" s="286"/>
      <c r="AI25" s="286"/>
      <c r="AJ25" s="286"/>
      <c r="AK25" s="286"/>
      <c r="AL25" s="279"/>
      <c r="AM25" s="279"/>
      <c r="AN25" s="279"/>
      <c r="AO25" s="279"/>
    </row>
    <row r="26" spans="1:41" ht="18.600000000000001" customHeight="1" x14ac:dyDescent="0.15">
      <c r="B26" s="278"/>
      <c r="C26" s="278"/>
      <c r="D26" s="278"/>
      <c r="E26" s="278"/>
      <c r="F26" s="278"/>
      <c r="G26" s="278"/>
      <c r="H26" s="278"/>
      <c r="I26" s="278"/>
      <c r="J26" s="278"/>
      <c r="K26" s="278"/>
      <c r="L26" s="278"/>
      <c r="M26" s="278"/>
      <c r="N26" s="286"/>
      <c r="O26" s="286"/>
      <c r="P26" s="286"/>
      <c r="Q26" s="286"/>
      <c r="R26" s="279"/>
      <c r="S26" s="279"/>
      <c r="T26" s="279"/>
      <c r="U26" s="287"/>
      <c r="V26" s="288"/>
      <c r="W26" s="278"/>
      <c r="X26" s="278"/>
      <c r="Y26" s="278"/>
      <c r="Z26" s="278"/>
      <c r="AA26" s="278"/>
      <c r="AB26" s="278"/>
      <c r="AC26" s="278"/>
      <c r="AD26" s="278"/>
      <c r="AE26" s="278"/>
      <c r="AF26" s="278"/>
      <c r="AG26" s="278"/>
      <c r="AH26" s="286"/>
      <c r="AI26" s="286"/>
      <c r="AJ26" s="286"/>
      <c r="AK26" s="286"/>
      <c r="AL26" s="279"/>
      <c r="AM26" s="279"/>
      <c r="AN26" s="279"/>
      <c r="AO26" s="279"/>
    </row>
    <row r="27" spans="1:41" ht="18.600000000000001" customHeight="1" x14ac:dyDescent="0.15">
      <c r="B27" s="278"/>
      <c r="C27" s="278"/>
      <c r="D27" s="278"/>
      <c r="E27" s="278"/>
      <c r="F27" s="278"/>
      <c r="G27" s="278"/>
      <c r="H27" s="278"/>
      <c r="I27" s="278"/>
      <c r="J27" s="278"/>
      <c r="K27" s="278"/>
      <c r="L27" s="278"/>
      <c r="M27" s="278"/>
      <c r="N27" s="286"/>
      <c r="O27" s="286"/>
      <c r="P27" s="286"/>
      <c r="Q27" s="286"/>
      <c r="R27" s="279"/>
      <c r="S27" s="279"/>
      <c r="T27" s="279"/>
      <c r="U27" s="287"/>
      <c r="V27" s="288"/>
      <c r="W27" s="278"/>
      <c r="X27" s="278"/>
      <c r="Y27" s="278"/>
      <c r="Z27" s="278"/>
      <c r="AA27" s="278"/>
      <c r="AB27" s="278"/>
      <c r="AC27" s="278"/>
      <c r="AD27" s="278"/>
      <c r="AE27" s="278"/>
      <c r="AF27" s="278"/>
      <c r="AG27" s="278"/>
      <c r="AH27" s="286"/>
      <c r="AI27" s="286"/>
      <c r="AJ27" s="286"/>
      <c r="AK27" s="286"/>
      <c r="AL27" s="279"/>
      <c r="AM27" s="279"/>
      <c r="AN27" s="279"/>
      <c r="AO27" s="279"/>
    </row>
    <row r="28" spans="1:41" ht="18.600000000000001" customHeight="1" x14ac:dyDescent="0.15">
      <c r="B28" s="278"/>
      <c r="C28" s="278"/>
      <c r="D28" s="278"/>
      <c r="E28" s="278"/>
      <c r="F28" s="278"/>
      <c r="G28" s="278"/>
      <c r="H28" s="278"/>
      <c r="I28" s="278"/>
      <c r="J28" s="278"/>
      <c r="K28" s="278"/>
      <c r="L28" s="278"/>
      <c r="M28" s="278"/>
      <c r="N28" s="286"/>
      <c r="O28" s="286"/>
      <c r="P28" s="286"/>
      <c r="Q28" s="286"/>
      <c r="R28" s="279"/>
      <c r="S28" s="279"/>
      <c r="T28" s="279"/>
      <c r="U28" s="287"/>
      <c r="V28" s="288"/>
      <c r="W28" s="278"/>
      <c r="X28" s="278"/>
      <c r="Y28" s="278"/>
      <c r="Z28" s="278"/>
      <c r="AA28" s="278"/>
      <c r="AB28" s="278"/>
      <c r="AC28" s="278"/>
      <c r="AD28" s="278"/>
      <c r="AE28" s="278"/>
      <c r="AF28" s="278"/>
      <c r="AG28" s="278"/>
      <c r="AH28" s="286"/>
      <c r="AI28" s="286"/>
      <c r="AJ28" s="286"/>
      <c r="AK28" s="286"/>
      <c r="AL28" s="279"/>
      <c r="AM28" s="279"/>
      <c r="AN28" s="279"/>
      <c r="AO28" s="279"/>
    </row>
    <row r="29" spans="1:41" ht="18.600000000000001" customHeight="1" x14ac:dyDescent="0.15">
      <c r="B29" s="278"/>
      <c r="C29" s="278"/>
      <c r="D29" s="278"/>
      <c r="E29" s="278"/>
      <c r="F29" s="278"/>
      <c r="G29" s="278"/>
      <c r="H29" s="278"/>
      <c r="I29" s="278"/>
      <c r="J29" s="278"/>
      <c r="K29" s="278"/>
      <c r="L29" s="278"/>
      <c r="M29" s="278"/>
      <c r="N29" s="286"/>
      <c r="O29" s="286"/>
      <c r="P29" s="286"/>
      <c r="Q29" s="286"/>
      <c r="R29" s="279"/>
      <c r="S29" s="279"/>
      <c r="T29" s="279"/>
      <c r="U29" s="287"/>
      <c r="V29" s="288"/>
      <c r="W29" s="278"/>
      <c r="X29" s="278"/>
      <c r="Y29" s="278"/>
      <c r="Z29" s="278"/>
      <c r="AA29" s="278"/>
      <c r="AB29" s="278"/>
      <c r="AC29" s="278"/>
      <c r="AD29" s="278"/>
      <c r="AE29" s="278"/>
      <c r="AF29" s="278"/>
      <c r="AG29" s="278"/>
      <c r="AH29" s="286"/>
      <c r="AI29" s="286"/>
      <c r="AJ29" s="286"/>
      <c r="AK29" s="286"/>
      <c r="AL29" s="279"/>
      <c r="AM29" s="279"/>
      <c r="AN29" s="279"/>
      <c r="AO29" s="279"/>
    </row>
    <row r="30" spans="1:41" ht="18.600000000000001" customHeight="1" x14ac:dyDescent="0.15"/>
    <row r="31" spans="1:41" ht="18.600000000000001" customHeight="1" x14ac:dyDescent="0.15">
      <c r="B31" s="13" t="s">
        <v>93</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8"/>
    </row>
    <row r="32" spans="1:41" ht="18.600000000000001" customHeight="1" x14ac:dyDescent="0.15">
      <c r="B32" s="280" t="s">
        <v>94</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281"/>
    </row>
    <row r="33" spans="1:41" ht="18.600000000000001" customHeight="1" x14ac:dyDescent="0.15">
      <c r="B33" s="280" t="s">
        <v>96</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281"/>
    </row>
    <row r="34" spans="1:41" ht="18.600000000000001" customHeight="1" x14ac:dyDescent="0.15">
      <c r="B34" s="280" t="s">
        <v>98</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281"/>
    </row>
    <row r="35" spans="1:41" ht="18.600000000000001" customHeight="1" x14ac:dyDescent="0.15">
      <c r="B35" s="280" t="s">
        <v>95</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281"/>
    </row>
    <row r="36" spans="1:41" ht="15" customHeight="1" x14ac:dyDescent="0.15">
      <c r="B36" s="282" t="s">
        <v>99</v>
      </c>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281"/>
    </row>
    <row r="37" spans="1:41" ht="18.600000000000001" customHeight="1" x14ac:dyDescent="0.15">
      <c r="B37" s="219" t="s">
        <v>97</v>
      </c>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83"/>
    </row>
    <row r="38" spans="1:41" ht="18.600000000000001" customHeight="1" x14ac:dyDescent="0.15"/>
    <row r="39" spans="1:41" ht="15.95" customHeight="1" x14ac:dyDescent="0.15">
      <c r="A39" s="164" t="s">
        <v>558</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row>
    <row r="40" spans="1:41" ht="15.95" customHeight="1" x14ac:dyDescent="0.15">
      <c r="A40" s="164" t="s">
        <v>559</v>
      </c>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row>
    <row r="41" spans="1:41" ht="15.95" customHeight="1" x14ac:dyDescent="0.15">
      <c r="A41" s="164" t="s">
        <v>100</v>
      </c>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row>
    <row r="42" spans="1:41" ht="15.95" customHeight="1" x14ac:dyDescent="0.15">
      <c r="A42" s="164" t="s">
        <v>101</v>
      </c>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row>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sheetData>
  <sheetProtection sheet="1" objects="1" scenarios="1" formatRows="0" insertRows="0" deleteRows="0"/>
  <mergeCells count="120">
    <mergeCell ref="A2:AO2"/>
    <mergeCell ref="I1:AO1"/>
    <mergeCell ref="B29:M29"/>
    <mergeCell ref="N29:Q29"/>
    <mergeCell ref="R29:U29"/>
    <mergeCell ref="V29:AG29"/>
    <mergeCell ref="AH29:AK29"/>
    <mergeCell ref="AL29:AO29"/>
    <mergeCell ref="B28:M28"/>
    <mergeCell ref="N28:Q28"/>
    <mergeCell ref="R28:U28"/>
    <mergeCell ref="V28:AG28"/>
    <mergeCell ref="AH28:AK28"/>
    <mergeCell ref="AL28:AO28"/>
    <mergeCell ref="B27:M27"/>
    <mergeCell ref="N27:Q27"/>
    <mergeCell ref="R27:U27"/>
    <mergeCell ref="V27:AG27"/>
    <mergeCell ref="AH27:AK27"/>
    <mergeCell ref="AL27:AO27"/>
    <mergeCell ref="B26:M26"/>
    <mergeCell ref="N26:Q26"/>
    <mergeCell ref="R26:U26"/>
    <mergeCell ref="V26:AG26"/>
    <mergeCell ref="AH26:AK26"/>
    <mergeCell ref="AL26:AO26"/>
    <mergeCell ref="B25:M25"/>
    <mergeCell ref="N25:Q25"/>
    <mergeCell ref="R25:U25"/>
    <mergeCell ref="V25:AG25"/>
    <mergeCell ref="AH25:AK25"/>
    <mergeCell ref="AL25:AO25"/>
    <mergeCell ref="B24:M24"/>
    <mergeCell ref="N24:Q24"/>
    <mergeCell ref="R24:U24"/>
    <mergeCell ref="V24:AG24"/>
    <mergeCell ref="AH24:AK24"/>
    <mergeCell ref="AL24:AO24"/>
    <mergeCell ref="AK15:AO15"/>
    <mergeCell ref="AH18:AK18"/>
    <mergeCell ref="AH19:AK19"/>
    <mergeCell ref="B23:M23"/>
    <mergeCell ref="N23:Q23"/>
    <mergeCell ref="R23:U23"/>
    <mergeCell ref="V23:AG23"/>
    <mergeCell ref="AH23:AK23"/>
    <mergeCell ref="AL23:AO23"/>
    <mergeCell ref="AL20:AO20"/>
    <mergeCell ref="B21:M21"/>
    <mergeCell ref="N21:Q21"/>
    <mergeCell ref="R21:U21"/>
    <mergeCell ref="V21:AG21"/>
    <mergeCell ref="AH21:AK21"/>
    <mergeCell ref="AL21:AO21"/>
    <mergeCell ref="R20:U20"/>
    <mergeCell ref="N20:Q20"/>
    <mergeCell ref="B20:M20"/>
    <mergeCell ref="V20:AG20"/>
    <mergeCell ref="B10:I10"/>
    <mergeCell ref="J10:P10"/>
    <mergeCell ref="Q10:AJ10"/>
    <mergeCell ref="AK10:AO10"/>
    <mergeCell ref="B14:I14"/>
    <mergeCell ref="J14:P14"/>
    <mergeCell ref="Q14:AJ14"/>
    <mergeCell ref="AK14:AO14"/>
    <mergeCell ref="B18:M19"/>
    <mergeCell ref="V18:AG19"/>
    <mergeCell ref="N18:Q18"/>
    <mergeCell ref="R18:U18"/>
    <mergeCell ref="N19:Q19"/>
    <mergeCell ref="R19:U19"/>
    <mergeCell ref="B11:I11"/>
    <mergeCell ref="J11:P11"/>
    <mergeCell ref="Q11:AJ11"/>
    <mergeCell ref="AK11:AO11"/>
    <mergeCell ref="B12:I12"/>
    <mergeCell ref="J12:P12"/>
    <mergeCell ref="Q12:AJ12"/>
    <mergeCell ref="AK12:AO12"/>
    <mergeCell ref="B15:I15"/>
    <mergeCell ref="J15:P15"/>
    <mergeCell ref="B8:I8"/>
    <mergeCell ref="J8:P8"/>
    <mergeCell ref="Q8:AJ8"/>
    <mergeCell ref="AK8:AO8"/>
    <mergeCell ref="B9:I9"/>
    <mergeCell ref="J9:P9"/>
    <mergeCell ref="Q9:AJ9"/>
    <mergeCell ref="AK9:AO9"/>
    <mergeCell ref="A4:AO4"/>
    <mergeCell ref="B6:I7"/>
    <mergeCell ref="J6:P7"/>
    <mergeCell ref="Q6:AJ7"/>
    <mergeCell ref="AK6:AO6"/>
    <mergeCell ref="AK7:AO7"/>
    <mergeCell ref="B13:I13"/>
    <mergeCell ref="J13:P13"/>
    <mergeCell ref="Q13:AJ13"/>
    <mergeCell ref="AK13:AO13"/>
    <mergeCell ref="A42:AO42"/>
    <mergeCell ref="B32:AO32"/>
    <mergeCell ref="B33:AO33"/>
    <mergeCell ref="B34:AO34"/>
    <mergeCell ref="B35:AO35"/>
    <mergeCell ref="B36:AO36"/>
    <mergeCell ref="B37:AO37"/>
    <mergeCell ref="A39:AO39"/>
    <mergeCell ref="A40:AO40"/>
    <mergeCell ref="A41:AO41"/>
    <mergeCell ref="AL18:AO18"/>
    <mergeCell ref="AL19:AO19"/>
    <mergeCell ref="B22:M22"/>
    <mergeCell ref="N22:Q22"/>
    <mergeCell ref="R22:U22"/>
    <mergeCell ref="V22:AG22"/>
    <mergeCell ref="Q15:AJ15"/>
    <mergeCell ref="AH22:AK22"/>
    <mergeCell ref="AL22:AO22"/>
    <mergeCell ref="AH20:AK20"/>
  </mergeCells>
  <phoneticPr fontId="1"/>
  <conditionalFormatting sqref="I1:AO1">
    <cfRule type="expression" dxfId="76" priority="11">
      <formula>I1="未入力あり"</formula>
    </cfRule>
    <cfRule type="expression" dxfId="75" priority="12">
      <formula>I1="提出不要"</formula>
    </cfRule>
  </conditionalFormatting>
  <conditionalFormatting sqref="J8:AO15">
    <cfRule type="expression" dxfId="74" priority="8">
      <formula>AND(NOT($B8=""),J8="")</formula>
    </cfRule>
  </conditionalFormatting>
  <conditionalFormatting sqref="N20:N29 AH20:AH29">
    <cfRule type="expression" dxfId="73" priority="2">
      <formula>AND(FIND("株式会社",$AQ$7),NOT(B20=""),N20="")</formula>
    </cfRule>
  </conditionalFormatting>
  <conditionalFormatting sqref="R20:R29 AL20:AL29">
    <cfRule type="expression" dxfId="72" priority="6">
      <formula>AND(NOT(B20=""),R20="")</formula>
    </cfRule>
  </conditionalFormatting>
  <conditionalFormatting sqref="AQ1:AQ100">
    <cfRule type="expression" dxfId="71" priority="9">
      <formula>FIND("未入力",AQ1)</formula>
    </cfRule>
    <cfRule type="expression" dxfId="70" priority="10">
      <formula>_xlfn.ISFORMULA(AQ1)</formula>
    </cfRule>
  </conditionalFormatting>
  <dataValidations count="3">
    <dataValidation type="list" allowBlank="1" showInputMessage="1" showErrorMessage="1" error="ドロップダウン リスト から選択" sqref="AK9:AO15 R21:U29 AL21:AO29" xr:uid="{00000000-0002-0000-0B00-000000000000}">
      <formula1>"有,無"</formula1>
    </dataValidation>
    <dataValidation allowBlank="1" showInputMessage="1" showErrorMessage="1" prompt="記載例：令和●年●月●日　取締役就任" sqref="Q8:AJ8" xr:uid="{00000000-0002-0000-0B00-000001000000}"/>
    <dataValidation type="list" allowBlank="1" showInputMessage="1" showErrorMessage="1" error="ドロップダウン リスト から選択" prompt="ドロップダウン リスト から選択" sqref="AK8:AO8 R20:U20 AL20:AO20" xr:uid="{00000000-0002-0000-0B00-000002000000}">
      <formula1>"有,無"</formula1>
    </dataValidation>
  </dataValidations>
  <pageMargins left="0.78740157480314965" right="0.78740157480314965" top="0.59055118110236227"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AQ64"/>
  <sheetViews>
    <sheetView workbookViewId="0">
      <selection activeCell="A4" sqref="A4:AO4"/>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102</v>
      </c>
      <c r="I1" s="166" t="str">
        <f>IF(COUNTIF(AQ1:AQ98,"*未入力*"),"未入力あり","")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2" s="248" t="str">
        <f>"事業者名："&amp;AQ6</f>
        <v>事業者名：○○株式会社</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1:43" ht="18.600000000000001" customHeight="1" x14ac:dyDescent="0.15">
      <c r="AO3" s="3"/>
    </row>
    <row r="4" spans="1:43" ht="18.600000000000001" customHeight="1" x14ac:dyDescent="0.15">
      <c r="A4" s="256" t="s">
        <v>103</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row>
    <row r="5" spans="1:43" ht="18.600000000000001" customHeight="1" x14ac:dyDescent="0.15">
      <c r="A5" s="14" t="s">
        <v>104</v>
      </c>
    </row>
    <row r="6" spans="1:43" ht="18.600000000000001" customHeight="1" x14ac:dyDescent="0.15">
      <c r="B6" s="289" t="s">
        <v>107</v>
      </c>
      <c r="C6" s="289"/>
      <c r="D6" s="289"/>
      <c r="E6" s="289" t="s">
        <v>108</v>
      </c>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Q6" s="2" t="str">
        <f>IF(入力!D5="",様式14!$AQ$5&amp;様式14!$AR$5&amp;ROW(入力!D5)&amp;" 未入力",入力!D5)</f>
        <v>○○株式会社</v>
      </c>
    </row>
    <row r="7" spans="1:43" ht="18.600000000000001" customHeight="1" x14ac:dyDescent="0.15">
      <c r="B7" s="289" t="str">
        <f>IF(COUNTIF(AQ7,"*行っている*"),"○","")</f>
        <v>○</v>
      </c>
      <c r="C7" s="289"/>
      <c r="D7" s="289"/>
      <c r="E7" s="296" t="s">
        <v>109</v>
      </c>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Q7" s="2" t="str">
        <f>IF(入力!D50="",様式14!$AQ$5&amp;様式14!$AR$5&amp;ROW(入力!D50)&amp;" 未入力",入力!D50)</f>
        <v>LPガス販売事業を行っている</v>
      </c>
    </row>
    <row r="8" spans="1:43" ht="18.600000000000001" customHeight="1" x14ac:dyDescent="0.15">
      <c r="B8" s="289" t="str">
        <f t="shared" ref="B8:B13" si="0">IF(COUNTIF(AQ8,"*行っている*"),"○","")</f>
        <v>○</v>
      </c>
      <c r="C8" s="289"/>
      <c r="D8" s="289"/>
      <c r="E8" s="296" t="s">
        <v>110</v>
      </c>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Q8" s="2" t="str">
        <f>IF(入力!D58="",様式14!$AQ$5&amp;様式14!$AR$5&amp;ROW(入力!D58)&amp;" 未入力",入力!D58)</f>
        <v>工業用LPガスの販売を行っている</v>
      </c>
    </row>
    <row r="9" spans="1:43" ht="18.600000000000001" customHeight="1" x14ac:dyDescent="0.15">
      <c r="B9" s="289" t="str">
        <f t="shared" si="0"/>
        <v/>
      </c>
      <c r="C9" s="289"/>
      <c r="D9" s="289"/>
      <c r="E9" s="296" t="s">
        <v>111</v>
      </c>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Q9" s="2" t="str">
        <f>IF(入力!D59="",様式14!$AQ$5&amp;様式14!$AR$5&amp;ROW(入力!D59)&amp;" 未入力",入力!D59)</f>
        <v>LPガスの充てん業務は行っていない</v>
      </c>
    </row>
    <row r="10" spans="1:43" ht="18.600000000000001" customHeight="1" x14ac:dyDescent="0.15">
      <c r="B10" s="289" t="str">
        <f t="shared" si="0"/>
        <v/>
      </c>
      <c r="C10" s="289"/>
      <c r="D10" s="289"/>
      <c r="E10" s="296" t="s">
        <v>112</v>
      </c>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Q10" s="2" t="str">
        <f>IF(入力!D60="",様式14!$AQ$5&amp;様式14!$AR$5&amp;ROW(入力!D60)&amp;" 未入力",入力!D60)</f>
        <v>LPガスの製造業務は行っていない</v>
      </c>
    </row>
    <row r="11" spans="1:43" ht="18.600000000000001" customHeight="1" x14ac:dyDescent="0.15">
      <c r="B11" s="289" t="str">
        <f t="shared" si="0"/>
        <v>○</v>
      </c>
      <c r="C11" s="289"/>
      <c r="D11" s="289"/>
      <c r="E11" s="296" t="s">
        <v>113</v>
      </c>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Q11" s="2" t="str">
        <f>IF(入力!D61="",様式14!$AQ$5&amp;様式14!$AR$5&amp;ROW(入力!D61)&amp;" 未入力",入力!D61)</f>
        <v>LPガスの配送業務を行っている</v>
      </c>
    </row>
    <row r="12" spans="1:43" ht="18.600000000000001" customHeight="1" x14ac:dyDescent="0.15">
      <c r="B12" s="289" t="str">
        <f t="shared" si="0"/>
        <v>○</v>
      </c>
      <c r="C12" s="289"/>
      <c r="D12" s="289"/>
      <c r="E12" s="296" t="s">
        <v>114</v>
      </c>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Q12" s="2" t="str">
        <f>IF(入力!D62="",様式14!$AQ$5&amp;様式14!$AR$5&amp;ROW(入力!D62)&amp;" 未入力",入力!D62)</f>
        <v>LPガス器具の販売を行っている</v>
      </c>
    </row>
    <row r="13" spans="1:43" ht="18.600000000000001" customHeight="1" x14ac:dyDescent="0.15">
      <c r="B13" s="289" t="str">
        <f t="shared" si="0"/>
        <v>○</v>
      </c>
      <c r="C13" s="289"/>
      <c r="D13" s="289"/>
      <c r="E13" s="296" t="s">
        <v>115</v>
      </c>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Q13" s="2" t="str">
        <f>IF(入力!D63="",様式14!$AQ$5&amp;様式14!$AR$5&amp;ROW(入力!D63)&amp;" 未入力",入力!D63)</f>
        <v>LPガス配管または設備の工事を行っている</v>
      </c>
    </row>
    <row r="14" spans="1:43" ht="18.600000000000001" customHeight="1" x14ac:dyDescent="0.15">
      <c r="B14" s="289" t="str">
        <f>IF(OR(AQ14="",AQ14="なし"),"","○")</f>
        <v/>
      </c>
      <c r="C14" s="289"/>
      <c r="D14" s="289"/>
      <c r="E14" s="297" t="str">
        <f>"その他("&amp;IF(入力!D64="なし","　　　　",入力!D64)&amp;")"</f>
        <v>その他(　　　　)</v>
      </c>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Q14" s="2" t="str">
        <f>IF(入力!D64="",様式14!$AQ$5&amp;様式14!$AR$5&amp;ROW(入力!D64)&amp;" 未入力",入力!D64)</f>
        <v>なし</v>
      </c>
    </row>
    <row r="15" spans="1:43" ht="18.600000000000001" customHeight="1" x14ac:dyDescent="0.15">
      <c r="B15" s="2" t="s">
        <v>116</v>
      </c>
    </row>
    <row r="16" spans="1:43" ht="18.600000000000001" customHeight="1" x14ac:dyDescent="0.15"/>
    <row r="17" spans="1:43" ht="18.600000000000001" customHeight="1" x14ac:dyDescent="0.15">
      <c r="A17" s="14" t="s">
        <v>105</v>
      </c>
    </row>
    <row r="18" spans="1:43" ht="18.600000000000001" customHeight="1" x14ac:dyDescent="0.15">
      <c r="A18" s="164" t="str">
        <f>"　 液化石油ガスに関する業務以外の業務 ： "&amp;IF(COUNTIF(AQ18,"*以外*"),"■有・□無","□有・■無")&amp;"　　※有の場合、その業務内容を以下に記載"</f>
        <v>　 液化石油ガスに関する業務以外の業務 ： ■有・□無　　※有の場合、その業務内容を以下に記載</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Q18" s="2" t="str">
        <f>IF(入力!D65="",様式14!$AQ$5&amp;様式14!$AR$5&amp;ROW(入力!D65)&amp;" 未入力",入力!D65)</f>
        <v>LPガスに関する業務以外の業務を行っている</v>
      </c>
    </row>
    <row r="19" spans="1:43" ht="18.600000000000001" customHeight="1" x14ac:dyDescent="0.15">
      <c r="B19" s="294"/>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88"/>
    </row>
    <row r="20" spans="1:43" ht="18.600000000000001" customHeight="1" x14ac:dyDescent="0.15">
      <c r="B20" s="294"/>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88"/>
    </row>
    <row r="21" spans="1:43" ht="18.600000000000001" customHeight="1" x14ac:dyDescent="0.15">
      <c r="B21" s="294"/>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88"/>
    </row>
    <row r="22" spans="1:43" ht="18.600000000000001" customHeight="1" x14ac:dyDescent="0.15">
      <c r="B22" s="294"/>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88"/>
    </row>
    <row r="23" spans="1:43" ht="18.600000000000001" customHeight="1" x14ac:dyDescent="0.15">
      <c r="B23" s="294"/>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88"/>
    </row>
    <row r="24" spans="1:43" ht="18.600000000000001" customHeight="1" x14ac:dyDescent="0.15">
      <c r="B24" s="294"/>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88"/>
    </row>
    <row r="25" spans="1:43" ht="18.600000000000001" customHeight="1" x14ac:dyDescent="0.15">
      <c r="B25" s="294"/>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88"/>
    </row>
    <row r="26" spans="1:43" ht="18.600000000000001" customHeight="1" x14ac:dyDescent="0.15">
      <c r="B26" s="294"/>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88"/>
    </row>
    <row r="27" spans="1:43" ht="18.600000000000001" customHeight="1" x14ac:dyDescent="0.15">
      <c r="B27" s="294"/>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88"/>
    </row>
    <row r="28" spans="1:43" ht="18.600000000000001" customHeight="1" x14ac:dyDescent="0.15">
      <c r="B28" s="294"/>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88"/>
    </row>
    <row r="29" spans="1:43" ht="18.600000000000001" customHeight="1" x14ac:dyDescent="0.15">
      <c r="B29" s="294"/>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88"/>
    </row>
    <row r="30" spans="1:43" ht="18.600000000000001" customHeight="1" x14ac:dyDescent="0.15">
      <c r="B30" s="294"/>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88"/>
    </row>
    <row r="31" spans="1:43" ht="18.600000000000001" customHeight="1" x14ac:dyDescent="0.15">
      <c r="B31" s="294"/>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88"/>
    </row>
    <row r="32" spans="1:43" ht="18.600000000000001" customHeight="1" x14ac:dyDescent="0.15">
      <c r="B32" s="294"/>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88"/>
    </row>
    <row r="33" spans="1:43" ht="18.600000000000001" customHeight="1" x14ac:dyDescent="0.15">
      <c r="B33" s="294"/>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88"/>
    </row>
    <row r="34" spans="1:43" ht="18.600000000000001" customHeight="1" x14ac:dyDescent="0.15">
      <c r="B34" s="294"/>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88"/>
    </row>
    <row r="35" spans="1:43" ht="18.600000000000001" customHeight="1" x14ac:dyDescent="0.15">
      <c r="B35" s="294"/>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88"/>
    </row>
    <row r="36" spans="1:43" ht="18.600000000000001" customHeight="1" x14ac:dyDescent="0.15"/>
    <row r="37" spans="1:43" ht="18.600000000000001" customHeight="1" x14ac:dyDescent="0.15">
      <c r="A37" s="2" t="s">
        <v>553</v>
      </c>
      <c r="AQ37" s="2" t="str">
        <f>IF(入力!D67="",様式14!$AQ$5&amp;様式14!$AR$5&amp;ROW(入力!D67)&amp;" 未入力",入力!D67)</f>
        <v>保安業務以外の業務中でも、適確に保安業務を行う体制を整えている</v>
      </c>
    </row>
    <row r="38" spans="1:43" ht="15.95" customHeight="1" x14ac:dyDescent="0.15">
      <c r="A38" s="164" t="str">
        <f>"　"&amp;IF(COUNTIF(AQ37,"*整えている*"),"■","□")&amp;" 保安業務以外の業務を行う場合であっても適確に保安業務を行う体制を整えている。（詳細"</f>
        <v>　■ 保安業務以外の業務を行う場合であっても適確に保安業務を行う体制を整えている。（詳細</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row>
    <row r="39" spans="1:43" ht="15.95" customHeight="1" x14ac:dyDescent="0.15">
      <c r="A39" s="164" t="s">
        <v>582</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row>
    <row r="40" spans="1:43" ht="15.95" customHeight="1" x14ac:dyDescent="0.15">
      <c r="A40" s="164" t="str">
        <f>"　"&amp;IF(COUNTIF(AQ37,"*おそれ*"),"■","□")&amp;" 保安業務以外の業務を行っているときは、その業務を行うことによって保安業務の適確な遂"</f>
        <v>　□ 保安業務以外の業務を行っているときは、その業務を行うことによって保安業務の適確な遂</v>
      </c>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row>
    <row r="41" spans="1:43" ht="15.95" customHeight="1" x14ac:dyDescent="0.15">
      <c r="A41" s="164" t="s">
        <v>583</v>
      </c>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row>
    <row r="42" spans="1:43" ht="18.600000000000001" customHeight="1" x14ac:dyDescent="0.15"/>
    <row r="43" spans="1:43" ht="15.95" customHeight="1" x14ac:dyDescent="0.15">
      <c r="A43" s="164" t="s">
        <v>106</v>
      </c>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row>
    <row r="44" spans="1:43" ht="18.600000000000001" customHeight="1" x14ac:dyDescent="0.15"/>
    <row r="45" spans="1:43" ht="18.600000000000001" customHeight="1" x14ac:dyDescent="0.15"/>
    <row r="46" spans="1:43" ht="18.600000000000001" customHeight="1" x14ac:dyDescent="0.15"/>
    <row r="47" spans="1:43" ht="18.600000000000001" customHeight="1" x14ac:dyDescent="0.15"/>
    <row r="48" spans="1:43"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sheetData>
  <sheetProtection sheet="1" objects="1" scenarios="1" formatRows="0" insertRows="0"/>
  <mergeCells count="44">
    <mergeCell ref="A2:AO2"/>
    <mergeCell ref="I1:AO1"/>
    <mergeCell ref="B34:AO34"/>
    <mergeCell ref="B35:AO35"/>
    <mergeCell ref="B30:AO30"/>
    <mergeCell ref="B31:AO31"/>
    <mergeCell ref="B32:AO32"/>
    <mergeCell ref="B33:AO33"/>
    <mergeCell ref="E7:AO7"/>
    <mergeCell ref="B19:AO19"/>
    <mergeCell ref="B20:AO20"/>
    <mergeCell ref="B21:AO21"/>
    <mergeCell ref="B22:AO22"/>
    <mergeCell ref="B11:D11"/>
    <mergeCell ref="B7:D7"/>
    <mergeCell ref="B8:D8"/>
    <mergeCell ref="B9:D9"/>
    <mergeCell ref="B10:D10"/>
    <mergeCell ref="E13:AO13"/>
    <mergeCell ref="E12:AO12"/>
    <mergeCell ref="E11:AO11"/>
    <mergeCell ref="E10:AO10"/>
    <mergeCell ref="E9:AO9"/>
    <mergeCell ref="E8:AO8"/>
    <mergeCell ref="A4:AO4"/>
    <mergeCell ref="A18:AO18"/>
    <mergeCell ref="A43:AO43"/>
    <mergeCell ref="B29:AO29"/>
    <mergeCell ref="B28:AO28"/>
    <mergeCell ref="B27:AO27"/>
    <mergeCell ref="B26:AO26"/>
    <mergeCell ref="B25:AO25"/>
    <mergeCell ref="B23:AO23"/>
    <mergeCell ref="B12:D12"/>
    <mergeCell ref="B13:D13"/>
    <mergeCell ref="B14:D14"/>
    <mergeCell ref="E6:AO6"/>
    <mergeCell ref="E14:AO14"/>
    <mergeCell ref="B6:D6"/>
    <mergeCell ref="A38:AO38"/>
    <mergeCell ref="A39:AO39"/>
    <mergeCell ref="A40:AO40"/>
    <mergeCell ref="A41:AO41"/>
    <mergeCell ref="B24:AO24"/>
  </mergeCells>
  <phoneticPr fontId="1"/>
  <conditionalFormatting sqref="I1">
    <cfRule type="expression" dxfId="69" priority="4">
      <formula>I1="未入力あり"</formula>
    </cfRule>
  </conditionalFormatting>
  <conditionalFormatting sqref="I1:AO1">
    <cfRule type="expression" dxfId="68" priority="5">
      <formula>I1="提出不要"</formula>
    </cfRule>
  </conditionalFormatting>
  <conditionalFormatting sqref="AQ1:AQ98">
    <cfRule type="expression" dxfId="67" priority="1">
      <formula>FIND("未入力",AQ1)</formula>
    </cfRule>
    <cfRule type="expression" dxfId="66"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AQ68"/>
  <sheetViews>
    <sheetView workbookViewId="0">
      <selection activeCell="A3" sqref="A3:AO3"/>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117</v>
      </c>
      <c r="I1" s="166" t="str">
        <f>IF(AQ7="個人","提出不要",IF(COUNTIF(AQ1:AQ100,"*未入力*"),"未入力あり",""))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21.95" customHeight="1" x14ac:dyDescent="0.15">
      <c r="AO2" s="3"/>
    </row>
    <row r="3" spans="1:43" ht="18.600000000000001" customHeight="1" x14ac:dyDescent="0.15">
      <c r="A3" s="256" t="s">
        <v>118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c r="A4" s="248" t="str">
        <f>TEXT(AQ6,"ggge年(")&amp;TEXT(AQ6,"yyyy年)m月d日")</f>
        <v>令和5年(2023年)10月1日</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3"/>
    </row>
    <row r="5" spans="1:43" ht="18.600000000000001" customHeight="1" x14ac:dyDescent="0.15">
      <c r="A5" s="14"/>
    </row>
    <row r="6" spans="1:43" ht="18.600000000000001" customHeight="1" x14ac:dyDescent="0.15">
      <c r="A6" s="2" t="s">
        <v>119</v>
      </c>
      <c r="AQ6" s="2">
        <f>IF(入力!D2="",様式14!$AQ$5&amp;様式14!$AR$5&amp;ROW(入力!D2)&amp;" 未入力",入力!D2)</f>
        <v>45200</v>
      </c>
    </row>
    <row r="7" spans="1:43" ht="18.600000000000001" customHeight="1" x14ac:dyDescent="0.15">
      <c r="AQ7" s="2" t="str">
        <f>IF(入力!D3="",様式14!$AQ$5&amp;様式14!$AR$5&amp;ROW(入力!D3)&amp;" 未入力",入力!D3)</f>
        <v>法人</v>
      </c>
    </row>
    <row r="8" spans="1:43" ht="18.600000000000001" customHeight="1" x14ac:dyDescent="0.15">
      <c r="A8" s="164" t="str">
        <f>AQ9&amp;"氏名又は名称　　　"&amp;AQ10</f>
        <v>　　　　　　　　　　　　　　　　　　　氏名又は名称　　　○○株式会社</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Q8" s="2">
        <f>MAX(LENB(AQ10)/2,LENB(AQ11)/2)</f>
        <v>6</v>
      </c>
    </row>
    <row r="9" spans="1:43" ht="18.600000000000001" customHeight="1" x14ac:dyDescent="0.15">
      <c r="A9" s="164" t="str">
        <f>AQ9&amp;"その代表者の氏名　"&amp;AQ11&amp;"　　印"</f>
        <v>　　　　　　　　　　　　　　　　　　　その代表者の氏名　□□　□□　　印</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IF(AQ8&lt;13,"　　　","")&amp;IF(AQ8&lt;16,"　　　","")&amp;IF(AQ8&lt;19,"　　　","")&amp;IF(AQ8&lt;22,"　　　","")&amp;IF(AQ8&lt;25,"　　　","")&amp;"　　　　"</f>
        <v>　　　　　　　　　　　　　　　　　　　</v>
      </c>
    </row>
    <row r="10" spans="1:43" ht="18.600000000000001" customHeight="1" x14ac:dyDescent="0.15">
      <c r="AQ10" s="2" t="str">
        <f>IF(入力!D5="",様式14!$AQ$5&amp;様式14!$AR$5&amp;ROW(入力!D5)&amp;" 未入力",入力!D5)</f>
        <v>○○株式会社</v>
      </c>
    </row>
    <row r="11" spans="1:43" ht="18.600000000000001" customHeight="1" x14ac:dyDescent="0.15">
      <c r="AQ11" s="2" t="str">
        <f>IF(AQ7="個人","",IF(入力!D6="",様式14!$AQ$5&amp;様式14!$AR$5&amp;ROW(入力!D6)&amp;" 未入力",入力!D6))</f>
        <v>□□　□□</v>
      </c>
    </row>
    <row r="12" spans="1:43" ht="18.600000000000001" customHeight="1" x14ac:dyDescent="0.15">
      <c r="A12" s="164" t="s">
        <v>120</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row>
    <row r="13" spans="1:43" ht="18.600000000000001" customHeight="1" x14ac:dyDescent="0.15">
      <c r="A13" s="302" t="s">
        <v>121</v>
      </c>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row>
    <row r="14" spans="1:43" ht="18.600000000000001" customHeight="1" x14ac:dyDescent="0.15">
      <c r="A14" s="289" t="s">
        <v>83</v>
      </c>
      <c r="B14" s="289"/>
      <c r="C14" s="289"/>
      <c r="D14" s="289"/>
      <c r="E14" s="289"/>
      <c r="F14" s="289"/>
      <c r="G14" s="289"/>
      <c r="H14" s="289"/>
      <c r="I14" s="289" t="s">
        <v>92</v>
      </c>
      <c r="J14" s="289"/>
      <c r="K14" s="289"/>
      <c r="L14" s="289"/>
      <c r="M14" s="289"/>
      <c r="N14" s="289"/>
      <c r="O14" s="289"/>
      <c r="P14" s="289"/>
      <c r="Q14" s="289" t="s">
        <v>122</v>
      </c>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row>
    <row r="15" spans="1:43" ht="21.95" customHeight="1" x14ac:dyDescent="0.15">
      <c r="A15" s="278" t="str">
        <f>IF(NOT('滋様13-5'!B8=""),'滋様13-5'!B8,"")</f>
        <v/>
      </c>
      <c r="B15" s="278"/>
      <c r="C15" s="278"/>
      <c r="D15" s="278"/>
      <c r="E15" s="278"/>
      <c r="F15" s="278"/>
      <c r="G15" s="278"/>
      <c r="H15" s="278"/>
      <c r="I15" s="301" t="str">
        <f>IF(NOT('滋様13-5'!J8=""),'滋様13-5'!J8,"")</f>
        <v/>
      </c>
      <c r="J15" s="301"/>
      <c r="K15" s="301"/>
      <c r="L15" s="301"/>
      <c r="M15" s="301"/>
      <c r="N15" s="301"/>
      <c r="O15" s="301"/>
      <c r="P15" s="301"/>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row>
    <row r="16" spans="1:43" ht="21.95" customHeight="1" x14ac:dyDescent="0.15">
      <c r="A16" s="278" t="str">
        <f>IF(NOT('滋様13-5'!B9=""),'滋様13-5'!B9,"")</f>
        <v/>
      </c>
      <c r="B16" s="278"/>
      <c r="C16" s="278"/>
      <c r="D16" s="278"/>
      <c r="E16" s="278"/>
      <c r="F16" s="278"/>
      <c r="G16" s="278"/>
      <c r="H16" s="278"/>
      <c r="I16" s="301" t="str">
        <f>IF(NOT('滋様13-5'!J9=""),'滋様13-5'!J9,"")</f>
        <v/>
      </c>
      <c r="J16" s="301"/>
      <c r="K16" s="301"/>
      <c r="L16" s="301"/>
      <c r="M16" s="301"/>
      <c r="N16" s="301"/>
      <c r="O16" s="301"/>
      <c r="P16" s="301"/>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row>
    <row r="17" spans="1:41" ht="21.95" customHeight="1" x14ac:dyDescent="0.15">
      <c r="A17" s="278" t="str">
        <f>IF(NOT('滋様13-5'!B10=""),'滋様13-5'!B10,"")</f>
        <v/>
      </c>
      <c r="B17" s="278"/>
      <c r="C17" s="278"/>
      <c r="D17" s="278"/>
      <c r="E17" s="278"/>
      <c r="F17" s="278"/>
      <c r="G17" s="278"/>
      <c r="H17" s="278"/>
      <c r="I17" s="301" t="str">
        <f>IF(NOT('滋様13-5'!J10=""),'滋様13-5'!J10,"")</f>
        <v/>
      </c>
      <c r="J17" s="301"/>
      <c r="K17" s="301"/>
      <c r="L17" s="301"/>
      <c r="M17" s="301"/>
      <c r="N17" s="301"/>
      <c r="O17" s="301"/>
      <c r="P17" s="301"/>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row>
    <row r="18" spans="1:41" ht="21.95" customHeight="1" x14ac:dyDescent="0.15">
      <c r="A18" s="278" t="str">
        <f>IF(NOT('滋様13-5'!B11=""),'滋様13-5'!B11,"")</f>
        <v/>
      </c>
      <c r="B18" s="278"/>
      <c r="C18" s="278"/>
      <c r="D18" s="278"/>
      <c r="E18" s="278"/>
      <c r="F18" s="278"/>
      <c r="G18" s="278"/>
      <c r="H18" s="278"/>
      <c r="I18" s="301" t="str">
        <f>IF(NOT('滋様13-5'!J11=""),'滋様13-5'!J11,"")</f>
        <v/>
      </c>
      <c r="J18" s="301"/>
      <c r="K18" s="301"/>
      <c r="L18" s="301"/>
      <c r="M18" s="301"/>
      <c r="N18" s="301"/>
      <c r="O18" s="301"/>
      <c r="P18" s="301"/>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row>
    <row r="19" spans="1:41" ht="21.95" customHeight="1" x14ac:dyDescent="0.15">
      <c r="A19" s="278" t="str">
        <f>IF(NOT('滋様13-5'!B12=""),'滋様13-5'!B12,"")</f>
        <v/>
      </c>
      <c r="B19" s="278"/>
      <c r="C19" s="278"/>
      <c r="D19" s="278"/>
      <c r="E19" s="278"/>
      <c r="F19" s="278"/>
      <c r="G19" s="278"/>
      <c r="H19" s="278"/>
      <c r="I19" s="301" t="str">
        <f>IF(NOT('滋様13-5'!J12=""),'滋様13-5'!J12,"")</f>
        <v/>
      </c>
      <c r="J19" s="301"/>
      <c r="K19" s="301"/>
      <c r="L19" s="301"/>
      <c r="M19" s="301"/>
      <c r="N19" s="301"/>
      <c r="O19" s="301"/>
      <c r="P19" s="301"/>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row>
    <row r="20" spans="1:41" ht="21.95" customHeight="1" x14ac:dyDescent="0.15">
      <c r="A20" s="278" t="str">
        <f>IF(NOT('滋様13-5'!B13=""),'滋様13-5'!B13,"")</f>
        <v/>
      </c>
      <c r="B20" s="278"/>
      <c r="C20" s="278"/>
      <c r="D20" s="278"/>
      <c r="E20" s="278"/>
      <c r="F20" s="278"/>
      <c r="G20" s="278"/>
      <c r="H20" s="278"/>
      <c r="I20" s="301" t="str">
        <f>IF(NOT('滋様13-5'!J13=""),'滋様13-5'!J13,"")</f>
        <v/>
      </c>
      <c r="J20" s="301"/>
      <c r="K20" s="301"/>
      <c r="L20" s="301"/>
      <c r="M20" s="301"/>
      <c r="N20" s="301"/>
      <c r="O20" s="301"/>
      <c r="P20" s="301"/>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row>
    <row r="21" spans="1:41" ht="21.95" customHeight="1" x14ac:dyDescent="0.15">
      <c r="A21" s="278" t="str">
        <f>IF(NOT('滋様13-5'!B14=""),'滋様13-5'!B14,"")</f>
        <v/>
      </c>
      <c r="B21" s="278"/>
      <c r="C21" s="278"/>
      <c r="D21" s="278"/>
      <c r="E21" s="278"/>
      <c r="F21" s="278"/>
      <c r="G21" s="278"/>
      <c r="H21" s="278"/>
      <c r="I21" s="301" t="str">
        <f>IF(NOT('滋様13-5'!J14=""),'滋様13-5'!J14,"")</f>
        <v/>
      </c>
      <c r="J21" s="301"/>
      <c r="K21" s="301"/>
      <c r="L21" s="301"/>
      <c r="M21" s="301"/>
      <c r="N21" s="301"/>
      <c r="O21" s="301"/>
      <c r="P21" s="301"/>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row>
    <row r="22" spans="1:41" ht="21.95" customHeight="1" x14ac:dyDescent="0.15">
      <c r="A22" s="278" t="str">
        <f>IF(NOT('滋様13-5'!B15=""),'滋様13-5'!B15,"")</f>
        <v/>
      </c>
      <c r="B22" s="278"/>
      <c r="C22" s="278"/>
      <c r="D22" s="278"/>
      <c r="E22" s="278"/>
      <c r="F22" s="278"/>
      <c r="G22" s="278"/>
      <c r="H22" s="278"/>
      <c r="I22" s="301" t="str">
        <f>IF(NOT('滋様13-5'!J15=""),'滋様13-5'!J15,"")</f>
        <v/>
      </c>
      <c r="J22" s="301"/>
      <c r="K22" s="301"/>
      <c r="L22" s="301"/>
      <c r="M22" s="301"/>
      <c r="N22" s="301"/>
      <c r="O22" s="301"/>
      <c r="P22" s="301"/>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row>
    <row r="23" spans="1:41" ht="21.95" customHeight="1" x14ac:dyDescent="0.15">
      <c r="A23" s="278"/>
      <c r="B23" s="278"/>
      <c r="C23" s="278"/>
      <c r="D23" s="278"/>
      <c r="E23" s="278"/>
      <c r="F23" s="278"/>
      <c r="G23" s="278"/>
      <c r="H23" s="278"/>
      <c r="I23" s="301"/>
      <c r="J23" s="301"/>
      <c r="K23" s="301"/>
      <c r="L23" s="301"/>
      <c r="M23" s="301"/>
      <c r="N23" s="301"/>
      <c r="O23" s="301"/>
      <c r="P23" s="301"/>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row>
    <row r="24" spans="1:41" ht="21.95" customHeight="1" x14ac:dyDescent="0.15">
      <c r="A24" s="278"/>
      <c r="B24" s="278"/>
      <c r="C24" s="278"/>
      <c r="D24" s="278"/>
      <c r="E24" s="278"/>
      <c r="F24" s="278"/>
      <c r="G24" s="278"/>
      <c r="H24" s="278"/>
      <c r="I24" s="301"/>
      <c r="J24" s="301"/>
      <c r="K24" s="301"/>
      <c r="L24" s="301"/>
      <c r="M24" s="301"/>
      <c r="N24" s="301"/>
      <c r="O24" s="301"/>
      <c r="P24" s="301"/>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row>
    <row r="25" spans="1:41" ht="21.95" customHeight="1" x14ac:dyDescent="0.15">
      <c r="A25" s="278"/>
      <c r="B25" s="278"/>
      <c r="C25" s="278"/>
      <c r="D25" s="278"/>
      <c r="E25" s="278"/>
      <c r="F25" s="278"/>
      <c r="G25" s="278"/>
      <c r="H25" s="278"/>
      <c r="I25" s="301"/>
      <c r="J25" s="301"/>
      <c r="K25" s="301"/>
      <c r="L25" s="301"/>
      <c r="M25" s="301"/>
      <c r="N25" s="301"/>
      <c r="O25" s="301"/>
      <c r="P25" s="301"/>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row>
    <row r="26" spans="1:41" ht="21.95" customHeight="1" x14ac:dyDescent="0.15">
      <c r="A26" s="278"/>
      <c r="B26" s="278"/>
      <c r="C26" s="278"/>
      <c r="D26" s="278"/>
      <c r="E26" s="278"/>
      <c r="F26" s="278"/>
      <c r="G26" s="278"/>
      <c r="H26" s="278"/>
      <c r="I26" s="301"/>
      <c r="J26" s="301"/>
      <c r="K26" s="301"/>
      <c r="L26" s="301"/>
      <c r="M26" s="301"/>
      <c r="N26" s="301"/>
      <c r="O26" s="301"/>
      <c r="P26" s="301"/>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row>
    <row r="27" spans="1:41" ht="21.95" customHeight="1" x14ac:dyDescent="0.15">
      <c r="A27" s="278"/>
      <c r="B27" s="278"/>
      <c r="C27" s="278"/>
      <c r="D27" s="278"/>
      <c r="E27" s="278"/>
      <c r="F27" s="278"/>
      <c r="G27" s="278"/>
      <c r="H27" s="278"/>
      <c r="I27" s="301"/>
      <c r="J27" s="301"/>
      <c r="K27" s="301"/>
      <c r="L27" s="301"/>
      <c r="M27" s="301"/>
      <c r="N27" s="301"/>
      <c r="O27" s="301"/>
      <c r="P27" s="301"/>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row>
    <row r="28" spans="1:41" ht="15.95" customHeight="1" x14ac:dyDescent="0.15"/>
    <row r="29" spans="1:41" ht="18.600000000000001" customHeight="1" x14ac:dyDescent="0.15">
      <c r="A29" s="238" t="s">
        <v>123</v>
      </c>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40"/>
    </row>
    <row r="30" spans="1:41" ht="15.95" customHeight="1" x14ac:dyDescent="0.15">
      <c r="A30" s="298" t="s">
        <v>124</v>
      </c>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99"/>
    </row>
    <row r="31" spans="1:41" ht="15.95" customHeight="1" x14ac:dyDescent="0.15">
      <c r="A31" s="280" t="s">
        <v>208</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300"/>
    </row>
    <row r="32" spans="1:41" ht="15.95" customHeight="1" x14ac:dyDescent="0.15">
      <c r="A32" s="280" t="s">
        <v>209</v>
      </c>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300"/>
    </row>
    <row r="33" spans="1:41" ht="15.95" customHeight="1" x14ac:dyDescent="0.15">
      <c r="A33" s="280" t="s">
        <v>125</v>
      </c>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300"/>
    </row>
    <row r="34" spans="1:41" ht="15.95" customHeight="1" x14ac:dyDescent="0.15">
      <c r="A34" s="280" t="s">
        <v>126</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300"/>
    </row>
    <row r="35" spans="1:41" ht="15.95" customHeight="1" x14ac:dyDescent="0.15">
      <c r="A35" s="280" t="s">
        <v>449</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300"/>
    </row>
    <row r="36" spans="1:41" ht="15.95" customHeight="1" x14ac:dyDescent="0.15">
      <c r="A36" s="219" t="s">
        <v>210</v>
      </c>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1"/>
    </row>
    <row r="37" spans="1:41" ht="18.600000000000001" customHeight="1" x14ac:dyDescent="0.15"/>
    <row r="38" spans="1:41" ht="18.600000000000001" customHeight="1" x14ac:dyDescent="0.15"/>
    <row r="39" spans="1:41" ht="18.600000000000001" customHeight="1" x14ac:dyDescent="0.15"/>
    <row r="40" spans="1:41" ht="18.600000000000001" customHeight="1" x14ac:dyDescent="0.15"/>
    <row r="41" spans="1:41" ht="18.600000000000001" customHeight="1" x14ac:dyDescent="0.15">
      <c r="A41" s="14"/>
    </row>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row r="63" ht="18.600000000000001" customHeight="1" x14ac:dyDescent="0.15"/>
    <row r="64"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sheetData>
  <sheetProtection sheet="1" objects="1" scenarios="1" formatRows="0" insertRows="0"/>
  <mergeCells count="57">
    <mergeCell ref="I1:AO1"/>
    <mergeCell ref="A3:AO3"/>
    <mergeCell ref="Q14:AO14"/>
    <mergeCell ref="I14:P14"/>
    <mergeCell ref="A14:H14"/>
    <mergeCell ref="A4:AN4"/>
    <mergeCell ref="A8:AO8"/>
    <mergeCell ref="A9:AO9"/>
    <mergeCell ref="A15:H15"/>
    <mergeCell ref="I15:P15"/>
    <mergeCell ref="Q15:AO15"/>
    <mergeCell ref="A12:AO12"/>
    <mergeCell ref="A13:AO13"/>
    <mergeCell ref="A16:H16"/>
    <mergeCell ref="I16:P16"/>
    <mergeCell ref="Q16:AO16"/>
    <mergeCell ref="A17:H17"/>
    <mergeCell ref="I17:P17"/>
    <mergeCell ref="Q17:AO17"/>
    <mergeCell ref="A18:H18"/>
    <mergeCell ref="I18:P18"/>
    <mergeCell ref="Q18:AO18"/>
    <mergeCell ref="A19:H19"/>
    <mergeCell ref="I19:P19"/>
    <mergeCell ref="Q19:AO19"/>
    <mergeCell ref="A20:H20"/>
    <mergeCell ref="I20:P20"/>
    <mergeCell ref="Q20:AO20"/>
    <mergeCell ref="A21:H21"/>
    <mergeCell ref="I21:P21"/>
    <mergeCell ref="Q21:AO21"/>
    <mergeCell ref="A22:H22"/>
    <mergeCell ref="I22:P22"/>
    <mergeCell ref="Q22:AO22"/>
    <mergeCell ref="A23:H23"/>
    <mergeCell ref="I23:P23"/>
    <mergeCell ref="Q23:AO23"/>
    <mergeCell ref="A24:H24"/>
    <mergeCell ref="I24:P24"/>
    <mergeCell ref="Q24:AO24"/>
    <mergeCell ref="A25:H25"/>
    <mergeCell ref="I25:P25"/>
    <mergeCell ref="Q25:AO25"/>
    <mergeCell ref="A26:H26"/>
    <mergeCell ref="I26:P26"/>
    <mergeCell ref="Q26:AO26"/>
    <mergeCell ref="A27:H27"/>
    <mergeCell ref="I27:P27"/>
    <mergeCell ref="Q27:AO27"/>
    <mergeCell ref="A29:AO29"/>
    <mergeCell ref="A30:AO30"/>
    <mergeCell ref="A36:AO36"/>
    <mergeCell ref="A35:AO35"/>
    <mergeCell ref="A34:AO34"/>
    <mergeCell ref="A33:AO33"/>
    <mergeCell ref="A32:AO32"/>
    <mergeCell ref="A31:AO31"/>
  </mergeCells>
  <phoneticPr fontId="1"/>
  <conditionalFormatting sqref="I1">
    <cfRule type="expression" dxfId="65" priority="5">
      <formula>I1="未入力あり"</formula>
    </cfRule>
  </conditionalFormatting>
  <conditionalFormatting sqref="I15:Q27">
    <cfRule type="expression" dxfId="64" priority="1">
      <formula>AND(NOT($A15=""),I15="")</formula>
    </cfRule>
  </conditionalFormatting>
  <conditionalFormatting sqref="I1:AO1">
    <cfRule type="expression" dxfId="63" priority="3">
      <formula>$I$1="提出不要"</formula>
    </cfRule>
  </conditionalFormatting>
  <conditionalFormatting sqref="AQ1:AQ100">
    <cfRule type="expression" dxfId="62" priority="2">
      <formula>FIND("未入力",AQ1)</formula>
    </cfRule>
    <cfRule type="expression" dxfId="61" priority="4">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AQ54"/>
  <sheetViews>
    <sheetView workbookViewId="0">
      <selection activeCell="A3" sqref="A3:AO3"/>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132</v>
      </c>
      <c r="I1" s="166" t="str">
        <f>IF(AQ7="法人","提出不要",IF(COUNTIF(AQ1:AQ100,"*未入力*"),"未入力あり",""))</f>
        <v>提出不要</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21.95" customHeight="1" x14ac:dyDescent="0.15">
      <c r="AO2" s="3"/>
    </row>
    <row r="3" spans="1:43" ht="18.600000000000001" customHeight="1" x14ac:dyDescent="0.15">
      <c r="A3" s="256" t="s">
        <v>133</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c r="A4" s="248" t="str">
        <f>TEXT(AQ6,"ggge年(")&amp;TEXT(AQ6,"yyyy年)m月d日")</f>
        <v>令和5年(2023年)10月1日</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
    </row>
    <row r="5" spans="1:43" ht="18.600000000000001" customHeight="1" x14ac:dyDescent="0.15">
      <c r="A5" s="14"/>
    </row>
    <row r="6" spans="1:43" ht="18.600000000000001" customHeight="1" x14ac:dyDescent="0.15">
      <c r="A6" s="2" t="s">
        <v>119</v>
      </c>
      <c r="AQ6" s="2">
        <f>IF(入力!D2="",様式14!$AQ$5&amp;様式14!$AR$5&amp;ROW(入力!D2)&amp;" 未入力",入力!D2)</f>
        <v>45200</v>
      </c>
    </row>
    <row r="7" spans="1:43" ht="18.600000000000001" customHeight="1" x14ac:dyDescent="0.15">
      <c r="AQ7" s="2" t="str">
        <f>IF(入力!D3="",様式14!$AQ$5&amp;様式14!$AR$5&amp;ROW(入力!D3)&amp;" 未入力",入力!D3)</f>
        <v>法人</v>
      </c>
    </row>
    <row r="8" spans="1:43" ht="18.600000000000001" customHeight="1" x14ac:dyDescent="0.15">
      <c r="A8" s="164" t="str">
        <f>AQ9&amp;"氏名　"&amp;AQ10&amp;"　　印"</f>
        <v>　　　　　　　　　　　　　　　　　　　　　　　　氏名　○○株式会社　　印</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Q8" s="2">
        <f>LENB(AQ10)/2</f>
        <v>6</v>
      </c>
    </row>
    <row r="9" spans="1:43" ht="18.600000000000001" customHeight="1" x14ac:dyDescent="0.15">
      <c r="AQ9" s="2" t="str">
        <f>IF(AQ8&lt;13,"　　　","")&amp;IF(AQ8&lt;16,"　　　","")&amp;IF(AQ8&lt;19,"　　　","")&amp;IF(AQ8&lt;22,"　　　","")&amp;IF(AQ8&lt;25,"　　　","")&amp;"　　　　　　　　　"</f>
        <v>　　　　　　　　　　　　　　　　　　　　　　　　</v>
      </c>
    </row>
    <row r="10" spans="1:43" ht="18.600000000000001" customHeight="1" x14ac:dyDescent="0.15">
      <c r="AQ10" s="2" t="str">
        <f>IF(入力!D5="",様式14!$AQ$5&amp;様式14!$AR$5&amp;ROW(入力!D5)&amp;" 未入力",入力!D5)</f>
        <v>○○株式会社</v>
      </c>
    </row>
    <row r="11" spans="1:43" ht="18.600000000000001" customHeight="1" x14ac:dyDescent="0.15">
      <c r="A11" s="164" t="s">
        <v>134</v>
      </c>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row>
    <row r="12" spans="1:43" ht="18.600000000000001" customHeight="1" x14ac:dyDescent="0.15">
      <c r="A12" s="276" t="s">
        <v>135</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row>
    <row r="13" spans="1:43" ht="18.600000000000001" customHeight="1" x14ac:dyDescent="0.15"/>
    <row r="14" spans="1:43" ht="18.600000000000001" customHeight="1" x14ac:dyDescent="0.15"/>
    <row r="15" spans="1:43" ht="18.600000000000001" customHeight="1" x14ac:dyDescent="0.15">
      <c r="A15" s="238" t="s">
        <v>123</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40"/>
    </row>
    <row r="16" spans="1:43" ht="15.95" customHeight="1" x14ac:dyDescent="0.15">
      <c r="A16" s="298" t="s">
        <v>124</v>
      </c>
      <c r="B16" s="273"/>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99"/>
    </row>
    <row r="17" spans="1:41" ht="15.95" customHeight="1" x14ac:dyDescent="0.15">
      <c r="A17" s="280" t="s">
        <v>208</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300"/>
    </row>
    <row r="18" spans="1:41" ht="15.95" customHeight="1" x14ac:dyDescent="0.15">
      <c r="A18" s="280" t="s">
        <v>209</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300"/>
    </row>
    <row r="19" spans="1:41" ht="15.95" customHeight="1" x14ac:dyDescent="0.15">
      <c r="A19" s="280" t="s">
        <v>125</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300"/>
    </row>
    <row r="20" spans="1:41" ht="15.95" customHeight="1" x14ac:dyDescent="0.15">
      <c r="A20" s="280" t="s">
        <v>126</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300"/>
    </row>
    <row r="21" spans="1:41" ht="15.95" customHeight="1" x14ac:dyDescent="0.15">
      <c r="A21" s="280" t="s">
        <v>211</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300"/>
    </row>
    <row r="22" spans="1:41" ht="15.95" customHeight="1" x14ac:dyDescent="0.15">
      <c r="A22" s="219" t="s">
        <v>210</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1"/>
    </row>
    <row r="23" spans="1:41" ht="18.600000000000001" customHeight="1" x14ac:dyDescent="0.15"/>
    <row r="24" spans="1:41" ht="18.600000000000001" customHeight="1" x14ac:dyDescent="0.15"/>
    <row r="25" spans="1:41" ht="18.600000000000001" customHeight="1" x14ac:dyDescent="0.15"/>
    <row r="26" spans="1:41" ht="18.600000000000001" customHeight="1" x14ac:dyDescent="0.15"/>
    <row r="27" spans="1:41" ht="18.600000000000001" customHeight="1" x14ac:dyDescent="0.15">
      <c r="A27" s="14"/>
    </row>
    <row r="28" spans="1:41" ht="18.600000000000001" customHeight="1" x14ac:dyDescent="0.15"/>
    <row r="29" spans="1:41" ht="18.600000000000001" customHeight="1" x14ac:dyDescent="0.15"/>
    <row r="30" spans="1:41" ht="18.600000000000001" customHeight="1" x14ac:dyDescent="0.15"/>
    <row r="31" spans="1:41" ht="18.600000000000001" customHeight="1" x14ac:dyDescent="0.15"/>
    <row r="32" spans="1:41" ht="18.600000000000001" customHeight="1" x14ac:dyDescent="0.15"/>
    <row r="33" ht="18.600000000000001" customHeight="1" x14ac:dyDescent="0.15"/>
    <row r="34" ht="18.600000000000001" customHeight="1" x14ac:dyDescent="0.15"/>
    <row r="35" ht="18.600000000000001" customHeight="1" x14ac:dyDescent="0.15"/>
    <row r="36" ht="18.600000000000001" customHeight="1" x14ac:dyDescent="0.15"/>
    <row r="37" ht="18.600000000000001" customHeight="1" x14ac:dyDescent="0.15"/>
    <row r="38" ht="18.600000000000001" customHeight="1" x14ac:dyDescent="0.15"/>
    <row r="39" ht="18.600000000000001" customHeight="1" x14ac:dyDescent="0.15"/>
    <row r="40" ht="18.600000000000001" customHeight="1" x14ac:dyDescent="0.15"/>
    <row r="41" ht="18.600000000000001" customHeight="1" x14ac:dyDescent="0.15"/>
    <row r="42" ht="18.600000000000001" customHeight="1" x14ac:dyDescent="0.15"/>
    <row r="43" ht="18.600000000000001" customHeight="1" x14ac:dyDescent="0.15"/>
    <row r="44" ht="18.600000000000001" customHeight="1" x14ac:dyDescent="0.15"/>
    <row r="45" ht="18.600000000000001" customHeight="1" x14ac:dyDescent="0.15"/>
    <row r="46" ht="18.600000000000001" customHeight="1" x14ac:dyDescent="0.15"/>
    <row r="47" ht="18.600000000000001" customHeight="1" x14ac:dyDescent="0.15"/>
    <row r="48"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sheetData>
  <sheetProtection sheet="1" objects="1" scenarios="1"/>
  <mergeCells count="14">
    <mergeCell ref="I1:AO1"/>
    <mergeCell ref="A15:AO15"/>
    <mergeCell ref="A16:AO16"/>
    <mergeCell ref="A17:AO17"/>
    <mergeCell ref="A3:AO3"/>
    <mergeCell ref="A11:AO11"/>
    <mergeCell ref="A12:AO12"/>
    <mergeCell ref="A4:AN4"/>
    <mergeCell ref="A8:AO8"/>
    <mergeCell ref="A18:AO18"/>
    <mergeCell ref="A19:AO19"/>
    <mergeCell ref="A20:AO20"/>
    <mergeCell ref="A21:AO21"/>
    <mergeCell ref="A22:AO22"/>
  </mergeCells>
  <phoneticPr fontId="1"/>
  <conditionalFormatting sqref="I1">
    <cfRule type="expression" dxfId="60" priority="4">
      <formula>I1="未入力あり"</formula>
    </cfRule>
  </conditionalFormatting>
  <conditionalFormatting sqref="I1:AO1">
    <cfRule type="expression" dxfId="59" priority="3">
      <formula>I1="提出不要"</formula>
    </cfRule>
  </conditionalFormatting>
  <conditionalFormatting sqref="AQ1:AQ100">
    <cfRule type="expression" dxfId="58" priority="1">
      <formula>FIND("未入力",AQ1)</formula>
    </cfRule>
    <cfRule type="expression" dxfId="57" priority="2">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A1:AR182"/>
  <sheetViews>
    <sheetView topLeftCell="A190" workbookViewId="0">
      <selection activeCell="A2" sqref="A2:AO2"/>
    </sheetView>
  </sheetViews>
  <sheetFormatPr defaultColWidth="8.75" defaultRowHeight="12.75" x14ac:dyDescent="0.15"/>
  <cols>
    <col min="1" max="1" width="2.125" style="2" customWidth="1"/>
    <col min="2" max="3" width="2.5" style="2" customWidth="1"/>
    <col min="4" max="40" width="2.125" style="2" customWidth="1"/>
    <col min="41" max="41" width="3.125" style="2" customWidth="1"/>
    <col min="42" max="42" width="8.75" style="2"/>
    <col min="43" max="43" width="15.375" style="2" customWidth="1"/>
    <col min="44" max="16384" width="8.75" style="2"/>
  </cols>
  <sheetData>
    <row r="1" spans="1:44" ht="18.600000000000001" customHeight="1" x14ac:dyDescent="0.15">
      <c r="A1" s="2" t="s">
        <v>168</v>
      </c>
      <c r="H1" s="2" t="s">
        <v>458</v>
      </c>
      <c r="J1" s="69"/>
      <c r="K1" s="69"/>
      <c r="L1" s="69"/>
      <c r="M1" s="69"/>
      <c r="N1" s="69"/>
      <c r="O1" s="342" t="str">
        <f>IF(COUNTIF(AQ1:AQ260,"*未入力*"),"未入力あり",IF(OR(AND(ISNUMBER(G149),G150&lt;G149),AND(ISNUMBER(R149),R150&lt;R149),AND(ISNUMBER(X149),X150&lt;X149)),"保安業務資格者の在籍数不足",IF(OR(SUM(AQ165,AQ166)&lt;AQ159,AQ167&lt;AQ160,AQ168&lt;AQ161,AQ169&lt;AQ162,AQ170&lt;AQ163,AQ171&lt;AQ164),"保安業務用機器の必要数不足","")))</f>
        <v/>
      </c>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row>
    <row r="2" spans="1:44" ht="18.600000000000001" customHeight="1" x14ac:dyDescent="0.15">
      <c r="A2" s="344" t="s">
        <v>169</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row>
    <row r="3" spans="1:44" ht="18.600000000000001" customHeight="1" x14ac:dyDescent="0.15">
      <c r="A3" s="312" t="str">
        <f>"事業所の名称："&amp;IF(AQ5="個人",IF(AQ7="同じ",AQ6,AQ8),AQ6&amp;"　"&amp;AQ8)</f>
        <v>事業所の名称：○○株式会社　</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row>
    <row r="4" spans="1:44" ht="18.600000000000001" customHeight="1" x14ac:dyDescent="0.15">
      <c r="A4" s="14" t="s">
        <v>394</v>
      </c>
    </row>
    <row r="5" spans="1:44" ht="15.95" customHeight="1" x14ac:dyDescent="0.15">
      <c r="A5" s="164" t="s">
        <v>450</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Q5" s="2" t="str">
        <f>IF(入力!D3="",様式14!$AQ$5&amp;様式14!$AR$5&amp;ROW(入力!D3)&amp;" 未入力",入力!D3)</f>
        <v>法人</v>
      </c>
    </row>
    <row r="6" spans="1:44" ht="15.95" customHeight="1" x14ac:dyDescent="0.15">
      <c r="A6" s="164" t="s">
        <v>451</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Q6" s="2" t="str">
        <f>IF(入力!D5="",様式14!$AQ$5&amp;様式14!$AR$5&amp;ROW(入力!D5)&amp;" 未入力",入力!D5)</f>
        <v>○○株式会社</v>
      </c>
      <c r="AR6" s="2" t="s">
        <v>364</v>
      </c>
    </row>
    <row r="7" spans="1:44" ht="15.95" customHeight="1" x14ac:dyDescent="0.15">
      <c r="A7" s="164" t="s">
        <v>302</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Q7" s="2" t="str">
        <f>IF(入力!D9="",様式14!$AQ$5&amp;様式14!$AR$5&amp;ROW(入力!D9)&amp;" 未入力",入力!D9)</f>
        <v>同じ</v>
      </c>
    </row>
    <row r="8" spans="1:44" ht="15.95" customHeight="1" x14ac:dyDescent="0.15">
      <c r="A8" s="164" t="s">
        <v>301</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Q8" s="2" t="str">
        <f>IF(AQ7="同じ","",IF(入力!D10="",様式14!$AQ$5&amp;様式14!$AR$5&amp;ROW(入力!D10)&amp;" 未入力",入力!D10))</f>
        <v/>
      </c>
      <c r="AR8" s="2" t="s">
        <v>365</v>
      </c>
    </row>
    <row r="9" spans="1:44" ht="15.95" customHeight="1" x14ac:dyDescent="0.15">
      <c r="A9" s="164" t="s">
        <v>452</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IF(入力!D14="",様式14!$AQ$5&amp;様式14!$AR$5&amp;ROW(入力!D14)&amp;" 未入力",入力!D14)</f>
        <v>規則関係通達第29号により認定を受けることなく業務を行う</v>
      </c>
    </row>
    <row r="10" spans="1:44" ht="15.95" customHeight="1" x14ac:dyDescent="0.15">
      <c r="A10" s="164" t="s">
        <v>453</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Q10" s="2" t="str">
        <f>IF(COUNTIF(AQ9,"*の認定を受ける*"),"認定あり","認定なし")</f>
        <v>認定なし</v>
      </c>
      <c r="AR10" s="2" t="s">
        <v>362</v>
      </c>
    </row>
    <row r="11" spans="1:44" ht="18.600000000000001" customHeight="1" x14ac:dyDescent="0.15">
      <c r="AQ11" s="2">
        <f>IF(AQ10="認定あり",IF(入力!D21="",様式14!$AQ$5&amp;様式14!$AR$5&amp;ROW(入力!D21)&amp;" 未入力",入力!D21),0)</f>
        <v>0</v>
      </c>
      <c r="AR11" s="2" t="s">
        <v>276</v>
      </c>
    </row>
    <row r="12" spans="1:44" ht="18.600000000000001" customHeight="1" x14ac:dyDescent="0.15">
      <c r="A12" s="14" t="s">
        <v>170</v>
      </c>
      <c r="AQ12" s="2">
        <f>IF(AQ10="認定なし",0,AQ11*1/20000)</f>
        <v>0</v>
      </c>
      <c r="AR12" s="2" t="s">
        <v>292</v>
      </c>
    </row>
    <row r="13" spans="1:44" ht="18.600000000000001" customHeight="1" x14ac:dyDescent="0.15">
      <c r="A13" s="164" t="str">
        <f>"　１号消費者戸数["&amp;IF(AQ10="認定あり",AQ11&amp;"]×1／20000＝(a)["&amp;AQ13,"－]×1／20000＝(a)[－")&amp;"]・・・①"</f>
        <v>　１号消費者戸数[－]×1／20000＝(a)[－]・・・①</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Q13" s="2">
        <f>IF(AND(AQ11&gt;0,AQ12&lt;0.001),0.001,ROUND(AQ12,3))</f>
        <v>0</v>
      </c>
      <c r="AR13" s="2" t="s">
        <v>303</v>
      </c>
    </row>
    <row r="14" spans="1:44" ht="18.600000000000001"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Q14" s="2" t="str">
        <f>IF(入力!D15="",様式14!$AQ$5&amp;様式14!$AR$5&amp;ROW(入力!D15)&amp;" 未入力",入力!D15)</f>
        <v>容器交換時等供給設備点検の認定を受ける</v>
      </c>
    </row>
    <row r="15" spans="1:44" ht="18.600000000000001" customHeight="1" x14ac:dyDescent="0.15">
      <c r="A15" s="14" t="s">
        <v>171</v>
      </c>
      <c r="AQ15" s="2" t="str">
        <f>IF(COUNTIF(AQ14,"*受ける*"),"認定あり","認定なし")</f>
        <v>認定あり</v>
      </c>
      <c r="AR15" s="2" t="s">
        <v>363</v>
      </c>
    </row>
    <row r="16" spans="1:44" ht="18.600000000000001" customHeight="1" x14ac:dyDescent="0.15">
      <c r="A16" s="164" t="str">
        <f>"　２号消費者戸数["&amp;IF(AQ15="認定あり",AQ16&amp;"]×1／（100×月間実働日数["&amp;AQ17&amp;"]）－調査員数["&amp;AQ149&amp;"]＝(b)["&amp;AQ19,"－]×1／（100×月間実働日数[－]）－調査員数[－]＝(b)[－")&amp;"]・・・②"</f>
        <v>　２号消費者戸数[500]×1／（100×月間実働日数[22]）－調査員数[0]＝(b)[0.227]・・・②</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Q16" s="2">
        <f>IF(AQ15="認定あり",IF(入力!D22="",様式14!$AQ$5&amp;様式14!$AR$5&amp;ROW(入力!D22)&amp;" 未入力",入力!D22),0)</f>
        <v>500</v>
      </c>
      <c r="AR16" s="2" t="s">
        <v>277</v>
      </c>
    </row>
    <row r="17" spans="1:44" ht="18.600000000000001" customHeight="1" x14ac:dyDescent="0.15">
      <c r="A17" s="248" t="s">
        <v>298</v>
      </c>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Q17" s="2">
        <f>IF(AQ15="認定あり",IF(入力!D28="",様式14!$AQ$5&amp;様式14!$AR$5&amp;ROW(入力!D28)&amp;" 未入力",入力!D28),0)</f>
        <v>22</v>
      </c>
      <c r="AR17" s="2" t="s">
        <v>278</v>
      </c>
    </row>
    <row r="18" spans="1:44" ht="18.600000000000001" customHeight="1" x14ac:dyDescent="0.15">
      <c r="A18" s="276" t="str">
        <f>"　２号消費者戸数["&amp;IF(AQ15="認定あり",AQ16&amp;"]×1／（100×月間実働日数["&amp;AQ17&amp;"]）－調査員数["&amp;AQ149&amp;"]＋調査員["&amp;AQ149&amp;"]","－]×1／（100×月間実働日数[－]）－調査員数[－]＋調査員[－]")</f>
        <v>　２号消費者戸数[500]×1／（100×月間実働日数[22]）－調査員数[0]＋調査員[0]</v>
      </c>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Q18" s="2">
        <f>IF(AQ15="認定なし",0,AQ16/(100*AQ17)-AQ149)</f>
        <v>0.22727272727272727</v>
      </c>
      <c r="AR18" s="2" t="s">
        <v>291</v>
      </c>
    </row>
    <row r="19" spans="1:44" ht="18.600000000000001" customHeight="1" x14ac:dyDescent="0.15">
      <c r="A19" s="164" t="str">
        <f>"　　　　　　　　　　　　　　　　　　　　　　　　　　　　　　　"&amp;IF(AQ15="認定あり","＝(h)["&amp;AQ20,"＝(h)[－")&amp;"]・・・⑳"</f>
        <v>　　　　　　　　　　　　　　　　　　　　　　　　　　　　　　　＝(h)[0.227]・・・⑳</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Q19" s="2">
        <f>IF(AND(AQ16&gt;0,AQ18&gt;0,AQ18&lt;0.001),0.001,IF(AQ18&lt;0,0,ROUND(AQ18,3)))</f>
        <v>0.22700000000000001</v>
      </c>
      <c r="AR19" s="2" t="s">
        <v>304</v>
      </c>
    </row>
    <row r="20" spans="1:44" ht="18.600000000000001" customHeight="1" x14ac:dyDescent="0.1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Q20" s="2">
        <f>ROUND(SUM(AQ149,AQ18),3)</f>
        <v>0.22700000000000001</v>
      </c>
      <c r="AR20" s="2" t="s">
        <v>397</v>
      </c>
    </row>
    <row r="21" spans="1:44" ht="18.600000000000001" customHeight="1" x14ac:dyDescent="0.15">
      <c r="A21" s="14" t="s">
        <v>172</v>
      </c>
      <c r="AQ21" s="2" t="str">
        <f>IF(入力!D16="",様式14!$AQ$5&amp;様式14!$AR$5&amp;ROW(入力!D16)&amp;" 未入力",入力!D16)</f>
        <v>定期供給設備点検の認定を受ける</v>
      </c>
    </row>
    <row r="22" spans="1:44" ht="18.600000000000001" customHeight="1" x14ac:dyDescent="0.15">
      <c r="A22" s="2" t="s">
        <v>355</v>
      </c>
      <c r="AQ22" s="2" t="str">
        <f>IF(COUNTIF(AQ21,"*受ける*"),"認定あり","認定なし")</f>
        <v>認定あり</v>
      </c>
      <c r="AR22" s="2" t="s">
        <v>367</v>
      </c>
    </row>
    <row r="23" spans="1:44" ht="18.600000000000001" customHeight="1" x14ac:dyDescent="0.15">
      <c r="A23" s="164" t="str">
        <f>"　3号消費者戸数["&amp;IF(AND(AQ22="認定あり",AQ62="特例なし",AQ24="補助員なし"),AQ25&amp;"]×1／（30×年間実働日数["&amp;AQ26&amp;"]）×1／4＝(c1)["&amp;AQ28,"－]×1／（30×年間実働日数[－]）×1／4＝(c1)[－")&amp;"]・・・③"</f>
        <v>　3号消費者戸数[－]×1／（30×年間実働日数[－]）×1／4＝(c1)[－]・・・③</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Q23" s="2" t="str">
        <f>IF(AND(AQ22="認定あり",入力!D37=""),様式14!$AQ$5&amp;様式14!$AR$5&amp;ROW(入力!D37)&amp;" 未入力",入力!D37)</f>
        <v>定期供給設備点検に補助員を伴わない</v>
      </c>
    </row>
    <row r="24" spans="1:44" ht="18.600000000000001" customHeight="1" x14ac:dyDescent="0.15">
      <c r="A24" s="2" t="str">
        <f>"【特例なし】かつ【補助員あり】　"&amp;IF(AND(AQ150&gt;0,AQ150&lt;ROUNDUP(AQ30,0)),"※補助員不足","")</f>
        <v>【特例なし】かつ【補助員あり】　</v>
      </c>
      <c r="AQ24" s="2" t="str">
        <f>IF(COUNTIF(AQ23,"*伴って*"),"補助員あり","補助員なし")</f>
        <v>補助員なし</v>
      </c>
      <c r="AR24" s="2" t="s">
        <v>370</v>
      </c>
    </row>
    <row r="25" spans="1:44" ht="18.600000000000001" customHeight="1" x14ac:dyDescent="0.15">
      <c r="A25" s="164" t="str">
        <f>"　3号消費者戸数["&amp;IF(AND(AQ22="認定あり",AQ62="特例なし",AQ24="補助員あり"),AQ25&amp;"]×1／（30×4／3×年間実働日数["&amp;AQ26&amp;"]）×1／4＝(c2)["&amp;AQ30,"－]×1／（30×4／3×年間実働日数[－]）×1／4＝(c2)[－")&amp;"]・・・④"</f>
        <v>　3号消費者戸数[－]×1／（30×4／3×年間実働日数[－]）×1／4＝(c2)[－]・・・④</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Q25" s="2">
        <f>IF(AQ22="認定あり",IF(入力!D23="",様式14!$AQ$5&amp;様式14!$AR$5&amp;ROW(入力!D23)&amp;" 未入力",入力!D23),0)</f>
        <v>500</v>
      </c>
      <c r="AR25" s="2" t="s">
        <v>279</v>
      </c>
    </row>
    <row r="26" spans="1:44" ht="18.600000000000001"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Q26" s="2">
        <f>IF(AQ22="認定あり",IF(入力!D29="",様式14!$AQ$5&amp;様式14!$AR$5&amp;ROW(入力!D29)&amp;" 未入力",入力!D29),0)</f>
        <v>263</v>
      </c>
      <c r="AR26" s="2" t="s">
        <v>280</v>
      </c>
    </row>
    <row r="27" spans="1:44" ht="18.600000000000001" customHeight="1" x14ac:dyDescent="0.15">
      <c r="A27" s="14" t="s">
        <v>186</v>
      </c>
      <c r="AQ27" s="2">
        <f>IF(AQ22="認定なし",0,AQ25/(30*AQ26)/4)</f>
        <v>1.5842839036755388E-2</v>
      </c>
      <c r="AR27" s="2" t="s">
        <v>331</v>
      </c>
    </row>
    <row r="28" spans="1:44" ht="18.600000000000001" customHeight="1" x14ac:dyDescent="0.15">
      <c r="A28" s="2" t="s">
        <v>355</v>
      </c>
      <c r="AQ28" s="2">
        <f>IF(AND(AQ25&gt;0,AQ27&lt;0.001),0.001,ROUND(AQ27,3))</f>
        <v>1.6E-2</v>
      </c>
      <c r="AR28" s="2" t="s">
        <v>305</v>
      </c>
    </row>
    <row r="29" spans="1:44" ht="18.600000000000001" customHeight="1" x14ac:dyDescent="0.15">
      <c r="A29" s="164" t="str">
        <f>"　４号消費者戸数["&amp;IF(AND(AQ32="認定あり",AQ62="特例なし",AQ34="補助員なし"),AQ35&amp;"]×1／（25×年間実働日数["&amp;AQ36&amp;"]）×1／4＝(d1)["&amp;AQ38,"－]×1／（25×年間実働日数[－]）×1／4＝(d1)[－")&amp;"]・・・⑤"</f>
        <v>　４号消費者戸数[－]×1／（25×年間実働日数[－]）×1／4＝(d1)[－]・・・⑤</v>
      </c>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Q29" s="2">
        <f>IF(AQ22="認定なし",0,AQ25/(30*4/3*AQ26)/4)</f>
        <v>1.1882129277566539E-2</v>
      </c>
      <c r="AR29" s="2" t="s">
        <v>332</v>
      </c>
    </row>
    <row r="30" spans="1:44" ht="18.600000000000001" customHeight="1" x14ac:dyDescent="0.15">
      <c r="A30" s="2" t="str">
        <f>"【特例なし】かつ【補助員あり】　"&amp;IF(AND(AQ150&gt;0,AQ150&lt;ROUNDUP(AQ40,0)),"※補助員不足","")</f>
        <v>【特例なし】かつ【補助員あり】　</v>
      </c>
      <c r="AQ30" s="2">
        <f>IF(AND(AQ25&gt;0,AQ29&lt;0.001),0.001,ROUND(AQ29,3))</f>
        <v>1.2E-2</v>
      </c>
      <c r="AR30" s="2" t="s">
        <v>306</v>
      </c>
    </row>
    <row r="31" spans="1:44" ht="18.600000000000001" customHeight="1" x14ac:dyDescent="0.15">
      <c r="A31" s="164" t="str">
        <f>"　４号消費者戸数["&amp;IF(AND(AQ32="認定あり",AQ62="特例なし",AQ34="補助員あり"),AQ35&amp;"]×1／（25×4／3×年間実働日数["&amp;AQ36&amp;"]）×1／4＝(d2)["&amp;AQ40,"－]×1／（25×4／3×年間実働日数[－]）×1／4＝(d2)[－")&amp;"]・・・⑥"</f>
        <v>　４号消費者戸数[－]×1／（25×4／3×年間実働日数[－]）×1／4＝(d2)[－]・・・⑥</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Q31" s="2" t="str">
        <f>IF(入力!D17="",様式14!$AQ$5&amp;様式14!$AR$5&amp;ROW(入力!D17)&amp;" 未入力",入力!D17)</f>
        <v>定期消費設備調査の認定を受ける</v>
      </c>
    </row>
    <row r="32" spans="1:44" ht="18.60000000000000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Q32" s="2" t="str">
        <f>IF(COUNTIF(AQ31,"*受ける*"),"認定あり","認定なし")</f>
        <v>認定あり</v>
      </c>
      <c r="AR32" s="2" t="s">
        <v>368</v>
      </c>
    </row>
    <row r="33" spans="1:44" ht="18.600000000000001" customHeight="1" x14ac:dyDescent="0.15">
      <c r="A33" s="14" t="s">
        <v>173</v>
      </c>
      <c r="AQ33" s="2" t="str">
        <f>IF(AND(AQ32="認定あり",入力!D38=""),様式14!$AQ$5&amp;様式14!$AR$5&amp;ROW(入力!D38)&amp;" 未入力",入力!D38)</f>
        <v>定期消費設備調査に補助員を伴わない</v>
      </c>
    </row>
    <row r="34" spans="1:44" ht="18.600000000000001" customHeight="1" x14ac:dyDescent="0.15">
      <c r="A34" s="2" t="s">
        <v>200</v>
      </c>
      <c r="AQ34" s="2" t="str">
        <f>IF(COUNTIF(AQ33,"*伴って*"),"補助員あり","補助員なし")</f>
        <v>補助員なし</v>
      </c>
      <c r="AR34" s="2" t="s">
        <v>369</v>
      </c>
    </row>
    <row r="35" spans="1:44" ht="18.600000000000001" customHeight="1" x14ac:dyDescent="0.15">
      <c r="A35" s="164" t="str">
        <f>"　５号消費者戸数["&amp;IF(AND(AQ42="認定あり",AQ44="特例なし"),AQ46&amp;"]×1／20000＝(e1)["&amp;AQ48,"－]×1／20000＝(e1)[－")&amp;"]・・・⑦"</f>
        <v>　５号消費者戸数[500]×1／20000＝(e1)[0.025]・・・⑦</v>
      </c>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Q35" s="2">
        <f>IF(AQ32="認定あり",IF(入力!D24="",様式14!$AQ$5&amp;様式14!$AR$5&amp;ROW(入力!D24)&amp;" 未入力",入力!D24),0)</f>
        <v>500</v>
      </c>
      <c r="AR35" s="2" t="s">
        <v>281</v>
      </c>
    </row>
    <row r="36" spans="1:44" ht="18.600000000000001" customHeight="1" x14ac:dyDescent="0.15">
      <c r="A36" s="2" t="s">
        <v>201</v>
      </c>
      <c r="AQ36" s="2">
        <f>IF(AQ32="認定あり",IF(入力!D30="",様式14!$AQ$5&amp;様式14!$AR$5&amp;ROW(入力!D30)&amp;" 未入力",入力!D30),0)</f>
        <v>263</v>
      </c>
      <c r="AR36" s="2" t="s">
        <v>282</v>
      </c>
    </row>
    <row r="37" spans="1:44" ht="18.600000000000001" customHeight="1" x14ac:dyDescent="0.15">
      <c r="A37" s="164" t="str">
        <f>"　５号消費者戸数["&amp;IF(AND(AQ42="認定あり",AQ44="特例あり"),AQ46&amp;"]×1／40000＝(e2)["&amp;AQ50,"－]×1／40000＝(e2)[－")&amp;"]・・・⑧"</f>
        <v>　５号消費者戸数[－]×1／40000＝(e2)[－]・・・⑧</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Q37" s="2">
        <f>IF(AQ32="認定なし",0,AQ35/(25*AQ36)/4)</f>
        <v>1.9011406844106463E-2</v>
      </c>
      <c r="AR37" s="2" t="s">
        <v>333</v>
      </c>
    </row>
    <row r="38" spans="1:44" ht="18.600000000000001"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Q38" s="2">
        <f>IF(AND(AQ35&gt;0,AQ37&lt;0.001),0.001,ROUND(AQ37,3))</f>
        <v>1.9E-2</v>
      </c>
      <c r="AR38" s="2" t="s">
        <v>356</v>
      </c>
    </row>
    <row r="39" spans="1:44" ht="18.600000000000001" customHeight="1" x14ac:dyDescent="0.15">
      <c r="A39" s="14" t="s">
        <v>176</v>
      </c>
      <c r="AQ39" s="2">
        <f>IF(AQ32="認定なし",0,AQ35/(25*4/3*AQ36)/4)</f>
        <v>1.4258555133079847E-2</v>
      </c>
      <c r="AR39" s="2" t="s">
        <v>334</v>
      </c>
    </row>
    <row r="40" spans="1:44" ht="18.600000000000001" customHeight="1" x14ac:dyDescent="0.15">
      <c r="A40" s="164" t="str">
        <f>"　６号消費者戸数["&amp;IF(AQ52="認定あり",AQ53&amp;"]×1／20000＝(f)["&amp;AQ55,"－]×1／20000＝(f)[－")&amp;"]・・・⑨"</f>
        <v>　６号消費者戸数[500]×1／20000＝(f)[0.025]・・・⑨</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Q40" s="2">
        <f>IF(AND(AQ35&gt;0,AQ39&lt;0.001),0.001,ROUND(AQ39,3))</f>
        <v>1.4E-2</v>
      </c>
      <c r="AR40" s="2" t="s">
        <v>357</v>
      </c>
    </row>
    <row r="41" spans="1:44" ht="18.600000000000001" customHeight="1" x14ac:dyDescent="0.15">
      <c r="AQ41" s="2" t="str">
        <f>IF(入力!D18="",様式14!$AQ$5&amp;様式14!$AR$5&amp;ROW(入力!D18)&amp;" 未入力",入力!D18)</f>
        <v>周知の認定を受ける</v>
      </c>
    </row>
    <row r="42" spans="1:44" ht="18.600000000000001" customHeight="1" x14ac:dyDescent="0.15">
      <c r="A42" s="2" t="str">
        <f>A$1</f>
        <v>滋LP様式第 13-9</v>
      </c>
      <c r="H42" s="2" t="s">
        <v>459</v>
      </c>
      <c r="AQ42" s="2" t="str">
        <f>IF(COUNTIF(AQ41,"*受ける*"),"認定あり","認定なし")</f>
        <v>認定あり</v>
      </c>
      <c r="AR42" s="2" t="s">
        <v>371</v>
      </c>
    </row>
    <row r="43" spans="1:44" ht="18.600000000000001" customHeight="1" x14ac:dyDescent="0.15">
      <c r="A43" s="312" t="str">
        <f>A$3</f>
        <v>事業所の名称：○○株式会社　</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Q43" s="2" t="str">
        <f>IF(AQ42="認定あり",IF(入力!D68="",様式14!$AQ$5&amp;様式14!$AR$5&amp;ROW(入力!D68)&amp;" 未入力",入力!D68),0)</f>
        <v>周知を他の保安業務と同時に実施しない</v>
      </c>
    </row>
    <row r="44" spans="1:44" ht="18.600000000000001" customHeight="1" x14ac:dyDescent="0.15">
      <c r="AQ44" s="2" t="str">
        <f>IF(AND(COUNTIF(AQ43,"*一又は二*"),OR(AQ15="認定あり",AQ22="認定あり",AQ32="認定あり")),"特例あり","特例なし")</f>
        <v>特例なし</v>
      </c>
      <c r="AR44" s="2" t="s">
        <v>372</v>
      </c>
    </row>
    <row r="45" spans="1:44" ht="18.600000000000001" customHeight="1" x14ac:dyDescent="0.15">
      <c r="A45" s="14" t="s">
        <v>177</v>
      </c>
      <c r="AQ45" s="2" t="str">
        <f>AQ42&amp;AQ44</f>
        <v>認定あり特例なし</v>
      </c>
    </row>
    <row r="46" spans="1:44" ht="18.600000000000001" customHeight="1" x14ac:dyDescent="0.15">
      <c r="A46" s="2" t="s">
        <v>202</v>
      </c>
      <c r="AQ46" s="2">
        <f>IF(AQ42="認定あり",IF(入力!D25="",様式14!$AQ$5&amp;様式14!$AR$5&amp;ROW(入力!D25)&amp;" 未入力",入力!D25),0)</f>
        <v>500</v>
      </c>
      <c r="AR46" s="2" t="s">
        <v>283</v>
      </c>
    </row>
    <row r="47" spans="1:44" ht="18.600000000000001" customHeight="1" x14ac:dyDescent="0.15">
      <c r="A47" s="164" t="str">
        <f>"　７号消費者戸数["&amp;IF(AND(AQ57="認定あり",AQ58&lt;=20000),AQ58&amp;"]×1／20000＝(g1)["&amp;AQ60,"－]×1／20000＝(g1)[－")&amp;"]・・・⑩"</f>
        <v>　７号消費者戸数[－]×1／20000＝(g1)[－]・・・⑩</v>
      </c>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Q47" s="2">
        <f>IF(AQ42="認定なし",0,AQ46/20000)</f>
        <v>2.5000000000000001E-2</v>
      </c>
      <c r="AR47" s="2" t="s">
        <v>335</v>
      </c>
    </row>
    <row r="48" spans="1:44" ht="18.600000000000001" customHeight="1" x14ac:dyDescent="0.15">
      <c r="A48" s="2" t="s">
        <v>203</v>
      </c>
      <c r="AQ48" s="2">
        <f>IF(AND(AQ46&gt;0,AQ47&lt;0.001),0.001,ROUND(AQ47,3))</f>
        <v>2.5000000000000001E-2</v>
      </c>
      <c r="AR48" s="2" t="s">
        <v>329</v>
      </c>
    </row>
    <row r="49" spans="1:44" ht="18.600000000000001" customHeight="1" x14ac:dyDescent="0.15">
      <c r="A49" s="164" t="str">
        <f>"　1＋（７号消費者戸数["&amp;IF(AND(AQ57="認定あり",AQ58&gt;20000),AQ58&amp;"]－20000）×1／80000＝(g2)["&amp;AQ61,"－]－20000）×1／80000＝(g2)[－")&amp;"]・・・⑪"</f>
        <v>　1＋（７号消費者戸数[－]－20000）×1／80000＝(g2)[－]・・・⑪</v>
      </c>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Q49" s="2">
        <f>IF(AQ42="認定なし",0,AQ46/40000)</f>
        <v>1.2500000000000001E-2</v>
      </c>
      <c r="AR49" s="2" t="s">
        <v>336</v>
      </c>
    </row>
    <row r="50" spans="1:44" ht="18.600000000000001" customHeight="1" x14ac:dyDescent="0.15">
      <c r="AQ50" s="2">
        <f>IF(AND(AQ46&gt;0,AQ49&lt;0.001),0.001,ROUND(AQ49,3))</f>
        <v>1.2999999999999999E-2</v>
      </c>
      <c r="AR50" s="2" t="s">
        <v>330</v>
      </c>
    </row>
    <row r="51" spans="1:44" ht="18.600000000000001" customHeight="1" x14ac:dyDescent="0.15">
      <c r="A51" s="14" t="s">
        <v>299</v>
      </c>
      <c r="AQ51" s="2" t="str">
        <f>IF(入力!D19="",様式14!$AQ$5&amp;様式14!$AR$5&amp;ROW(入力!D19)&amp;" 未入力",入力!D19)</f>
        <v>緊急時対応の認定を受ける</v>
      </c>
    </row>
    <row r="52" spans="1:44" ht="18.600000000000001" customHeight="1" x14ac:dyDescent="0.15">
      <c r="A52" s="249" t="s">
        <v>454</v>
      </c>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Q52" s="2" t="str">
        <f>IF(COUNTIF(AQ51,"*受ける*"),"認定あり","認定なし")</f>
        <v>認定あり</v>
      </c>
      <c r="AR52" s="2" t="s">
        <v>373</v>
      </c>
    </row>
    <row r="53" spans="1:44" ht="18.600000000000001" customHeight="1" x14ac:dyDescent="0.15">
      <c r="A53" s="249" t="s">
        <v>455</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Q53" s="2">
        <f>IF(AQ52="認定あり",IF(入力!D26="",様式14!$AQ$5&amp;様式14!$AR$5&amp;ROW(入力!D26)&amp;" 未入力",入力!D26),0)</f>
        <v>500</v>
      </c>
      <c r="AR53" s="2" t="s">
        <v>284</v>
      </c>
    </row>
    <row r="54" spans="1:44" ht="18.600000000000001" customHeight="1" x14ac:dyDescent="0.15">
      <c r="A54" s="2" t="s">
        <v>457</v>
      </c>
      <c r="AQ54" s="2">
        <f>IF(AQ52="認定なし",0,AQ53/20000)</f>
        <v>2.5000000000000001E-2</v>
      </c>
      <c r="AR54" s="2" t="s">
        <v>337</v>
      </c>
    </row>
    <row r="55" spans="1:44" ht="18.600000000000001" customHeight="1" x14ac:dyDescent="0.15">
      <c r="A55" s="164" t="str">
        <f>"　3,4号消費者戸数["&amp;IF(AQ63="特例あり補助員なし",MIN(AQ25,AQ35)&amp;"]×1／（20×年間実働日数["&amp;MIN(AQ26,AQ36)&amp;"]）×1／4＝(cd1)["&amp;AQ65,"－]×1／（20×年間実働日数[－]）×1／4＝(cd1)[－")&amp;"]・・・⑫"</f>
        <v>　3,4号消費者戸数[500]×1／（20×年間実働日数[263]）×1／4＝(cd1)[0.024]・・・⑫</v>
      </c>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Q55" s="2">
        <f>IF(IF(AQ53&gt;0,AQ54&lt;0.001),0.001,ROUND(AQ54,3))</f>
        <v>2.5000000000000001E-2</v>
      </c>
      <c r="AR55" s="2" t="s">
        <v>338</v>
      </c>
    </row>
    <row r="56" spans="1:44" ht="18.600000000000001" customHeight="1" x14ac:dyDescent="0.15">
      <c r="A56" s="164" t="str">
        <f>"　3,4号消費者戸数["&amp;IF(AQ63="特例あり補助員なし",MIN(AQ25,AQ35)&amp;"]×1／（25×年間実働日数["&amp;AQ36&amp;"]）×1／4＝(d5)["&amp;AQ67,"－]×1／（25×年間実働日数[－]）×1／4＝(d5)[－")&amp;"]・・・⑬"</f>
        <v>　3,4号消費者戸数[500]×1／（25×年間実働日数[263]）×1／4＝(d5)[0.019]・・・⑬</v>
      </c>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Q56" s="2" t="str">
        <f>IF(入力!D20="",様式14!$AQ$5&amp;様式14!$AR$5&amp;ROW(入力!D20)&amp;" 未入力",入力!D20)</f>
        <v>規則関係通達第29号により認定を受けることなく業務を行う</v>
      </c>
    </row>
    <row r="57" spans="1:44" ht="18.600000000000001" customHeight="1" x14ac:dyDescent="0.15">
      <c r="A57" s="2" t="s">
        <v>456</v>
      </c>
      <c r="AQ57" s="2" t="str">
        <f>IF(COUNTIF(AQ56,"*の認定を受ける*"),"認定あり","認定なし")</f>
        <v>認定なし</v>
      </c>
      <c r="AR57" s="2" t="s">
        <v>374</v>
      </c>
    </row>
    <row r="58" spans="1:44" ht="18.600000000000001" customHeight="1" x14ac:dyDescent="0.15">
      <c r="A58" s="164" t="str">
        <f>"　3,4号消費者戸数["&amp;IF(AQ63="特例あり補助員あり",MIN(AQ25,AQ35)&amp;"]×1／（20×4/3×年間実働日数["&amp;MIN(AQ26,AQ36)&amp;"]）×1／4＝(cd2)["&amp;AQ69,"－]×1／（20×4/3×年間実働日数[－]）×1／4＝(cd2)[－")&amp;"]・・・⑭"</f>
        <v>　3,4号消費者戸数[－]×1／（20×4/3×年間実働日数[－]）×1／4＝(cd2)[－]・・・⑭</v>
      </c>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Q58" s="2">
        <f>IF(AQ57="認定あり",IF(入力!D27="",様式14!$AQ$5&amp;様式14!$AR$5&amp;ROW(入力!D27)&amp;" 未入力",入力!D27),0)</f>
        <v>0</v>
      </c>
      <c r="AR58" s="2" t="s">
        <v>285</v>
      </c>
    </row>
    <row r="59" spans="1:44" ht="18.600000000000001" customHeight="1" x14ac:dyDescent="0.15">
      <c r="A59" s="164" t="str">
        <f>"　3,4号消費者戸数["&amp;IF(AQ63="特例あり補助員あり",MIN(AQ25,AQ35)&amp;"]×1／（25×4/3×年間実働日数["&amp;AQ36&amp;"]）×1／4＝(d6)["&amp;AQ71,"－]×1／（25×4/3×年間実働日数[－]）×1／4＝(d6)[－")&amp;"]・・・⑮"</f>
        <v>　3,4号消費者戸数[－]×1／（25×4/3×年間実働日数[－]）×1／4＝(d6)[－]・・・⑮</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Q59" s="2">
        <f>IF(AQ57="認定なし",0,AQ58/20000)</f>
        <v>0</v>
      </c>
      <c r="AR59" s="2" t="s">
        <v>339</v>
      </c>
    </row>
    <row r="60" spans="1:44" ht="18.600000000000001" customHeight="1" x14ac:dyDescent="0.15">
      <c r="A60" s="2" t="s">
        <v>307</v>
      </c>
      <c r="AQ60" s="2">
        <f>IF(AND(AQ58&gt;0,AQ59&lt;0.001),0.001,ROUND(AQ59,3))</f>
        <v>0</v>
      </c>
      <c r="AR60" s="2" t="s">
        <v>340</v>
      </c>
    </row>
    <row r="61" spans="1:44" ht="18.600000000000001" customHeight="1" x14ac:dyDescent="0.15">
      <c r="A61" s="164" t="str">
        <f>"　（3号消費者戸数["&amp;IF(AND(AQ72="特例適用外あり",AQ73="特例あり補助員なし"),AQ25&amp;"]－4号消費者戸数["&amp;AQ35&amp;"]）×1／（30×年間実働日数["&amp;AQ26,"－]－4号消費者戸数[－]）×1／（30×年間実働日数[－")&amp;"]）×1／4"</f>
        <v>　（3号消費者戸数[－]－4号消費者戸数[－]）×1／（30×年間実働日数[－]）×1／4</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Q61" s="2">
        <f>ROUND(1+(AQ58-20000)/80000,3)</f>
        <v>0.75</v>
      </c>
      <c r="AR61" s="2" t="s">
        <v>341</v>
      </c>
    </row>
    <row r="62" spans="1:44" ht="18.600000000000001" customHeight="1" x14ac:dyDescent="0.15">
      <c r="A62" s="164" t="str">
        <f>"　　　　　　　　　　　　　　　　　　　　　　　　　　　　　　　　＝(c3)["&amp;IF(AND(AQ72="特例適用外あり",AQ73="特例あり補助員なし"),AQ75,"－")&amp;"]・・・⑯"</f>
        <v>　　　　　　　　　　　　　　　　　　　　　　　　　　　　　　　　＝(c3)[－]・・・⑯</v>
      </c>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Q62" s="2" t="str">
        <f>IF(AND(AQ22="認定あり",AQ32="認定あり",AQ24=AQ34),"特例あり","特例なし")</f>
        <v>特例あり</v>
      </c>
      <c r="AR62" s="2" t="s">
        <v>366</v>
      </c>
    </row>
    <row r="63" spans="1:44" ht="18.600000000000001" customHeight="1" x14ac:dyDescent="0.15">
      <c r="A63" s="248" t="s">
        <v>300</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Q63" s="2" t="str">
        <f>AQ62&amp;IF(AND(AQ62="特例あり",AQ24="補助員あり",AQ34="補助員あり"),"補助員あり","補助員なし")</f>
        <v>特例あり補助員なし</v>
      </c>
    </row>
    <row r="64" spans="1:44" ht="18.600000000000001" customHeight="1" x14ac:dyDescent="0.15">
      <c r="A64" s="2" t="s">
        <v>308</v>
      </c>
      <c r="AQ64" s="2">
        <f>IF(AQ62="特例なし",0,MIN(AQ25,AQ35)/(20*MIN(AQ26,AQ36))*1/4)</f>
        <v>2.3764258555133078E-2</v>
      </c>
      <c r="AR64" s="2" t="s">
        <v>342</v>
      </c>
    </row>
    <row r="65" spans="1:44" ht="18.600000000000001" customHeight="1" x14ac:dyDescent="0.15">
      <c r="A65" s="164" t="str">
        <f>"　（3号消費者戸数["&amp;IF(AND(AQ72="特例適用外あり",AQ73="特例あり補助員あり"),AQ25&amp;"]－4号消費者戸数["&amp;AQ35&amp;"]）×1／（30×4／3×年間実働日数["&amp;AQ26&amp;"]）","－]－4号消費者戸数[－]）×1／（30×4／3×年間実働日数[－]）")</f>
        <v>　（3号消費者戸数[－]－4号消費者戸数[－]）×1／（30×4／3×年間実働日数[－]）</v>
      </c>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Q65" s="2">
        <f>IF(AQ62="特例あり",IF(AQ64&lt;0.001,0.001,ROUND(AQ64,3)),0)</f>
        <v>2.4E-2</v>
      </c>
      <c r="AR65" s="2" t="s">
        <v>343</v>
      </c>
    </row>
    <row r="66" spans="1:44" ht="18.600000000000001" customHeight="1" x14ac:dyDescent="0.15">
      <c r="A66" s="164" t="str">
        <f>"　　　　　　　　　　　　　　　　　　　　　　　　　　　　 ×1／4＝(c4)["&amp;IF(AND(AQ72="特例適用外あり",AQ73="特例あり補助員あり"),AQ77,"－")&amp;"]・・・⑰"</f>
        <v>　　　　　　　　　　　　　　　　　　　　　　　　　　　　 ×1／4＝(c4)[－]・・・⑰</v>
      </c>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Q66" s="2">
        <f>IF(AQ62="特例なし",0,MIN(AQ25,AQ35)/(25*MIN(AQ26,AQ36))*1/4)</f>
        <v>1.9011406844106463E-2</v>
      </c>
      <c r="AR66" s="2" t="s">
        <v>383</v>
      </c>
    </row>
    <row r="67" spans="1:44" ht="18.600000000000001" customHeight="1" x14ac:dyDescent="0.15">
      <c r="A67" s="248" t="s">
        <v>300</v>
      </c>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Q67" s="2">
        <f>IF(AQ63="特例あり補助員なし",IF(AQ66&lt;0.001,0.001,ROUND(AQ66,3)),0)</f>
        <v>1.9E-2</v>
      </c>
      <c r="AR67" s="2" t="s">
        <v>384</v>
      </c>
    </row>
    <row r="68" spans="1:44" ht="18.600000000000001" customHeight="1" x14ac:dyDescent="0.15">
      <c r="A68" s="2" t="s">
        <v>309</v>
      </c>
      <c r="AQ68" s="2">
        <f>IF(AQ62="特例なし",0,MIN(AQ25,AQ35)/(20*4/3*MIN(AQ26,AQ36))*1/4)</f>
        <v>1.782319391634981E-2</v>
      </c>
      <c r="AR68" s="2" t="s">
        <v>381</v>
      </c>
    </row>
    <row r="69" spans="1:44" ht="18.600000000000001" customHeight="1" x14ac:dyDescent="0.15">
      <c r="A69" s="164" t="str">
        <f>"　（4号消費者戸数["&amp;IF(AND(AQ72="特例適用外あり",AQ78="特例あり補助員なし"),AQ35&amp;"]－3号消費者戸数["&amp;AQ25&amp;"]）×1／（25×年間実働日数["&amp;AQ36,"－]－3号消費者戸数[－]）×1／（25×年間実働日数[－")&amp;"]）×1／4"</f>
        <v>　（4号消費者戸数[－]－3号消費者戸数[－]）×1／（25×年間実働日数[－]）×1／4</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Q69" s="2">
        <f>IF(AQ62="特例あり",IF(AQ68&lt;0.001,0.001,ROUND(AQ68,3)),0)</f>
        <v>1.7999999999999999E-2</v>
      </c>
      <c r="AR69" s="2" t="s">
        <v>382</v>
      </c>
    </row>
    <row r="70" spans="1:44" ht="18.600000000000001" customHeight="1" x14ac:dyDescent="0.15">
      <c r="A70" s="164" t="str">
        <f>"　　　　　　　　　　　　　　　　　　　　　　　　　　　　　　　　＝(d3)["&amp;IF(AND(AQ72="特例適用外あり",AQ78="特例あり補助員なし"),AQ80,"－")&amp;"]・・・⑱"</f>
        <v>　　　　　　　　　　　　　　　　　　　　　　　　　　　　　　　　＝(d3)[－]・・・⑱</v>
      </c>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Q70" s="2">
        <f>IF(AQ62="特例なし",0,MIN(AQ25,AQ35)/(25*4/3*MIN(AQ26,AQ36))*1/4)</f>
        <v>1.4258555133079847E-2</v>
      </c>
      <c r="AR70" s="2" t="s">
        <v>390</v>
      </c>
    </row>
    <row r="71" spans="1:44" ht="18.600000000000001" customHeight="1" x14ac:dyDescent="0.15">
      <c r="A71" s="248" t="s">
        <v>310</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Q71" s="2">
        <f>IF(AQ63="特例あり補助員あり",IF(AQ70&lt;0.001,0.001,ROUND(AQ70,3)),0)</f>
        <v>0</v>
      </c>
      <c r="AR71" s="2" t="s">
        <v>391</v>
      </c>
    </row>
    <row r="72" spans="1:44" ht="18.600000000000001" customHeight="1" x14ac:dyDescent="0.15">
      <c r="A72" s="2" t="s">
        <v>311</v>
      </c>
      <c r="AQ72" s="2" t="str">
        <f>IF(AND(AQ62="特例あり",NOT(AQ25=AQ35)),"特例適用外あり","特例適用外なし")</f>
        <v>特例適用外なし</v>
      </c>
      <c r="AR72" s="2" t="s">
        <v>398</v>
      </c>
    </row>
    <row r="73" spans="1:44" ht="18.600000000000001" customHeight="1" x14ac:dyDescent="0.15">
      <c r="A73" s="164" t="str">
        <f>"　（4号消費者戸数["&amp;IF(AND(AQ72="特例適用外あり",AQ78="特例あり補助員あり"),AQ35&amp;"]－3号消費者戸数["&amp;AQ25&amp;"]）×1／（25×4／3×年間実働日数["&amp;AQ36&amp;"]）","－]－3号消費者戸数[－]）×1／（25×4／3×年間実働日数[－]）")</f>
        <v>　（4号消費者戸数[－]－3号消費者戸数[－]）×1／（25×4／3×年間実働日数[－]）</v>
      </c>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Q73" s="2" t="str">
        <f>AQ62&amp;IF(AND(AQ62="特例あり",AQ24="補助員あり"),"補助員あり","補助員なし")</f>
        <v>特例あり補助員なし</v>
      </c>
    </row>
    <row r="74" spans="1:44" ht="18.600000000000001" customHeight="1" x14ac:dyDescent="0.15">
      <c r="A74" s="164" t="str">
        <f>"　　　　　　　　　　　　　　　　　　　　　　　　　　　　 ×1／4＝(d4)["&amp;IF(AND(AQ72="特例適用外あり",AQ78="特例あり補助員あり"),AQ82,"－")&amp;"]・・・⑲"</f>
        <v>　　　　　　　　　　　　　　　　　　　　　　　　　　　　 ×1／4＝(d4)[－]・・・⑲</v>
      </c>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Q74" s="2">
        <f>IF(AQ22="認定なし",0,(AQ25-AQ35)/(30*AQ26)/4)</f>
        <v>0</v>
      </c>
      <c r="AR74" s="2" t="s">
        <v>379</v>
      </c>
    </row>
    <row r="75" spans="1:44" ht="18.600000000000001" customHeight="1" x14ac:dyDescent="0.15">
      <c r="A75" s="248" t="s">
        <v>312</v>
      </c>
      <c r="B75" s="303"/>
      <c r="C75" s="303"/>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Q75" s="2">
        <f>IF(AQ35-AQ25&gt;=0,0,IF(AQ74&lt;0.001,0.001,ROUND(AQ74,3)))</f>
        <v>0</v>
      </c>
      <c r="AR75" s="2" t="s">
        <v>380</v>
      </c>
    </row>
    <row r="76" spans="1:44" ht="18.600000000000001" customHeight="1" x14ac:dyDescent="0.15">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Q76" s="2">
        <f>IF(AQ22="認定なし",0,(AQ25-AQ35)/(30*4/3*AQ26)/4)</f>
        <v>0</v>
      </c>
      <c r="AR76" s="2" t="s">
        <v>388</v>
      </c>
    </row>
    <row r="77" spans="1:44" ht="18.600000000000001" customHeight="1" x14ac:dyDescent="0.15">
      <c r="A77" s="2" t="str">
        <f>A$1</f>
        <v>滋LP様式第 13-9</v>
      </c>
      <c r="B77"/>
      <c r="C77"/>
      <c r="D77"/>
      <c r="E77"/>
      <c r="F77"/>
      <c r="G77"/>
      <c r="H77" s="2" t="s">
        <v>460</v>
      </c>
      <c r="I77"/>
      <c r="J77"/>
      <c r="K77"/>
      <c r="L77"/>
      <c r="M77"/>
      <c r="N77"/>
      <c r="O77"/>
      <c r="P77"/>
      <c r="Q77"/>
      <c r="R77"/>
      <c r="S77"/>
      <c r="T77"/>
      <c r="U77"/>
      <c r="V77"/>
      <c r="W77"/>
      <c r="X77"/>
      <c r="Y77"/>
      <c r="Z77"/>
      <c r="AA77"/>
      <c r="AB77"/>
      <c r="AC77"/>
      <c r="AD77"/>
      <c r="AE77"/>
      <c r="AF77"/>
      <c r="AG77"/>
      <c r="AH77"/>
      <c r="AI77"/>
      <c r="AJ77"/>
      <c r="AK77"/>
      <c r="AL77"/>
      <c r="AM77"/>
      <c r="AN77"/>
      <c r="AO77"/>
      <c r="AQ77" s="2">
        <f>IF(AQ35-AQ25&gt;=0,0,IF(AQ76&lt;0.001,0.001,ROUND(AQ76,3)))</f>
        <v>0</v>
      </c>
      <c r="AR77" s="2" t="s">
        <v>389</v>
      </c>
    </row>
    <row r="78" spans="1:44" ht="18.600000000000001" customHeight="1" x14ac:dyDescent="0.15">
      <c r="A78" s="312" t="str">
        <f>A$3</f>
        <v>事業所の名称：○○株式会社　</v>
      </c>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Q78" s="2" t="str">
        <f>AQ62&amp;IF(AND(AQ62="特例あり",AQ34="補助員あり"),"補助員あり","補助員なし")</f>
        <v>特例あり補助員なし</v>
      </c>
    </row>
    <row r="79" spans="1:44" ht="18.600000000000001" customHeight="1" x14ac:dyDescent="0.15">
      <c r="A79" s="14" t="s">
        <v>395</v>
      </c>
      <c r="AO79" s="3"/>
      <c r="AQ79" s="2">
        <f>IF(AQ32="認定なし",0,(AQ35-AQ25)/(25*AQ36)/4)</f>
        <v>0</v>
      </c>
      <c r="AR79" s="2" t="s">
        <v>378</v>
      </c>
    </row>
    <row r="80" spans="1:44" ht="18.600000000000001" customHeight="1" x14ac:dyDescent="0.15">
      <c r="A80" s="250" t="s">
        <v>170</v>
      </c>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2"/>
      <c r="AQ80" s="2">
        <f>IF(AQ25-AQ35&gt;=0,0,IF(AQ79&lt;0.001,0.001,ROUND(AQ79,3)))</f>
        <v>0</v>
      </c>
      <c r="AR80" s="2" t="s">
        <v>387</v>
      </c>
    </row>
    <row r="81" spans="1:44" ht="8.1" customHeight="1" x14ac:dyDescent="0.15">
      <c r="AQ81" s="2">
        <f>IF(AQ32="認定なし",0,(AQ35-AQ25)/(25*4/3*AQ36)/4)</f>
        <v>0</v>
      </c>
      <c r="AR81" s="2" t="s">
        <v>385</v>
      </c>
    </row>
    <row r="82" spans="1:44" ht="15.95" customHeight="1" x14ac:dyDescent="0.15">
      <c r="C82" s="2" t="s">
        <v>286</v>
      </c>
      <c r="O82" s="2" t="s">
        <v>288</v>
      </c>
      <c r="AQ82" s="2">
        <f>IF(AQ25-AQ35&gt;=0,0,IF(AQ81&lt;0.001,0.001,ROUND(AQ81,3)))</f>
        <v>0</v>
      </c>
      <c r="AR82" s="2" t="s">
        <v>386</v>
      </c>
    </row>
    <row r="83" spans="1:44" ht="15.95" customHeight="1" x14ac:dyDescent="0.15">
      <c r="O83" s="2" t="str">
        <f>"①式により計算　(a)["&amp;AQ83&amp;"]"</f>
        <v>①式により計算　(a)[－]</v>
      </c>
      <c r="AQ83" s="2" t="str">
        <f>IF(AQ10="認定あり",AQ13,"－")</f>
        <v>－</v>
      </c>
      <c r="AR83" s="2" t="s">
        <v>314</v>
      </c>
    </row>
    <row r="84" spans="1:44" ht="8.1" customHeight="1" x14ac:dyDescent="0.15">
      <c r="AQ84" s="2">
        <f>IF(AQ15="認定あり",AQ19,"－")</f>
        <v>0.22700000000000001</v>
      </c>
      <c r="AR84" s="2" t="s">
        <v>313</v>
      </c>
    </row>
    <row r="85" spans="1:44" ht="18.600000000000001" customHeight="1" x14ac:dyDescent="0.15">
      <c r="A85" s="250" t="s">
        <v>171</v>
      </c>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2"/>
      <c r="AQ85" s="2">
        <f>IF(AQ63="特例あり補助員なし",AQ65,"－")</f>
        <v>2.4E-2</v>
      </c>
      <c r="AR85" s="2" t="s">
        <v>315</v>
      </c>
    </row>
    <row r="86" spans="1:44" ht="8.1" customHeight="1" x14ac:dyDescent="0.15">
      <c r="AQ86" s="2" t="str">
        <f>IF(AQ63="特例あり補助員あり",AQ69,"－")</f>
        <v>－</v>
      </c>
      <c r="AR86" s="2" t="s">
        <v>316</v>
      </c>
    </row>
    <row r="87" spans="1:44" ht="15.95" customHeight="1" x14ac:dyDescent="0.15">
      <c r="C87" s="2" t="s">
        <v>286</v>
      </c>
      <c r="O87" s="2" t="s">
        <v>288</v>
      </c>
      <c r="AQ87" s="2" t="str">
        <f>IF(AND(AQ22="認定あり",AQ62="特例なし",AQ24="補助員なし"),AQ28,"－")</f>
        <v>－</v>
      </c>
      <c r="AR87" s="2" t="s">
        <v>326</v>
      </c>
    </row>
    <row r="88" spans="1:44" ht="15.95" customHeight="1" x14ac:dyDescent="0.15">
      <c r="O88" s="2" t="str">
        <f>"②式により計算　(b)["&amp;AQ84&amp;"]"</f>
        <v>②式により計算　(b)[0.227]</v>
      </c>
      <c r="AQ88" s="2" t="str">
        <f>IF(AND(AQ22="認定あり",AQ62="特例なし",AQ24="補助員あり"),AQ30,"－")</f>
        <v>－</v>
      </c>
      <c r="AR88" s="2" t="s">
        <v>327</v>
      </c>
    </row>
    <row r="89" spans="1:44" ht="15.95" customHeight="1" x14ac:dyDescent="0.15">
      <c r="O89" s="2" t="str">
        <f>"⑳式により計算　(h)["&amp;AQ102&amp;"]"</f>
        <v>⑳式により計算　(h)[0.227]</v>
      </c>
      <c r="AQ89" s="2" t="str">
        <f>IF(AND(AQ72="特例適用外あり",AQ73="特例あり補助員なし"),AQ75,"－")</f>
        <v>－</v>
      </c>
      <c r="AR89" s="2" t="s">
        <v>318</v>
      </c>
    </row>
    <row r="90" spans="1:44" ht="8.1" customHeight="1" x14ac:dyDescent="0.15">
      <c r="AQ90" s="2" t="str">
        <f>IF(AND(AQ72="特例適用外あり",AQ73="特例あり補助員あり"),AQ77,"－")</f>
        <v>－</v>
      </c>
      <c r="AR90" s="2" t="s">
        <v>319</v>
      </c>
    </row>
    <row r="91" spans="1:44" ht="15" customHeight="1" x14ac:dyDescent="0.15">
      <c r="A91" s="306" t="s">
        <v>351</v>
      </c>
      <c r="B91" s="307"/>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8"/>
      <c r="AQ91" s="2" t="str">
        <f>IF(AND(AQ32="認定あり",AQ62="特例なし",AQ34="補助員なし"),AQ38,"－")</f>
        <v>－</v>
      </c>
      <c r="AR91" s="2" t="s">
        <v>328</v>
      </c>
    </row>
    <row r="92" spans="1:44" ht="15" customHeight="1" x14ac:dyDescent="0.15">
      <c r="A92" s="309" t="s">
        <v>352</v>
      </c>
      <c r="B92" s="310"/>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1"/>
      <c r="AQ92" s="2" t="str">
        <f>IF(AND(AQ32="認定あり",AQ62="特例なし",AQ34="補助員あり"),AQ40,"－")</f>
        <v>－</v>
      </c>
      <c r="AR92" s="2" t="s">
        <v>344</v>
      </c>
    </row>
    <row r="93" spans="1:44" ht="8.1" customHeight="1" x14ac:dyDescent="0.15">
      <c r="AQ93" s="2" t="str">
        <f>IF(AND(AQ72="特例適用外あり",AQ78="特例あり補助員なし"),AQ80,"－")</f>
        <v>－</v>
      </c>
      <c r="AR93" s="2" t="s">
        <v>320</v>
      </c>
    </row>
    <row r="94" spans="1:44" ht="15.95" customHeight="1" x14ac:dyDescent="0.15">
      <c r="C94" s="2" t="s">
        <v>287</v>
      </c>
      <c r="I94" s="2" t="s">
        <v>324</v>
      </c>
      <c r="AA94" s="2" t="s">
        <v>325</v>
      </c>
      <c r="AQ94" s="2" t="str">
        <f>IF(AND(AQ72="特例適用外あり",AQ78="特例あり補助員あり"),AQ82,"－")</f>
        <v>－</v>
      </c>
      <c r="AR94" s="2" t="s">
        <v>321</v>
      </c>
    </row>
    <row r="95" spans="1:44" ht="15.95" customHeight="1" x14ac:dyDescent="0.15">
      <c r="I95" s="2" t="str">
        <f>"⑫式により計算　(cd1)["&amp;AQ85&amp;"]"</f>
        <v>⑫式により計算　(cd1)[0.024]</v>
      </c>
      <c r="AA95" s="2" t="str">
        <f>"⑭式により計算　(cd2)["&amp;AQ86&amp;"]"</f>
        <v>⑭式により計算　(cd2)[－]</v>
      </c>
      <c r="AQ95" s="2">
        <f>IF(AND(AQ62="特例あり",AQ34="補助員なし"),AQ67,"－")</f>
        <v>1.9E-2</v>
      </c>
      <c r="AR95" s="2" t="s">
        <v>392</v>
      </c>
    </row>
    <row r="96" spans="1:44" ht="15.95" customHeight="1" x14ac:dyDescent="0.15">
      <c r="I96" s="2" t="str">
        <f>"⑬式により計算　(d5)["&amp;AQ95&amp;"]"</f>
        <v>⑬式により計算　(d5)[0.019]</v>
      </c>
      <c r="AA96" s="2" t="str">
        <f>"⑮式により計算　(d6)["&amp;AQ96&amp;"]"</f>
        <v>⑮式により計算　(d6)[－]</v>
      </c>
      <c r="AQ96" s="2" t="str">
        <f>IF(AND(AQ62="特例あり",AQ34="補助員あり"),AQ71,"－")</f>
        <v>－</v>
      </c>
      <c r="AR96" s="2" t="s">
        <v>393</v>
      </c>
    </row>
    <row r="97" spans="1:44" ht="8.1" customHeight="1" x14ac:dyDescent="0.15">
      <c r="AQ97" s="2">
        <f>IF(AND(AQ42="認定あり",AQ44="特例なし"),AQ48,"－")</f>
        <v>2.5000000000000001E-2</v>
      </c>
      <c r="AR97" s="2" t="s">
        <v>345</v>
      </c>
    </row>
    <row r="98" spans="1:44" ht="18.600000000000001" customHeight="1" x14ac:dyDescent="0.15">
      <c r="A98" s="250" t="s">
        <v>172</v>
      </c>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2"/>
      <c r="AQ98" s="2" t="str">
        <f>IF(AND(AQ42="認定あり",AQ44="特例あり"),AQ50,"－")</f>
        <v>－</v>
      </c>
      <c r="AR98" s="2" t="s">
        <v>346</v>
      </c>
    </row>
    <row r="99" spans="1:44" ht="8.1" customHeight="1" x14ac:dyDescent="0.15">
      <c r="AQ99" s="2">
        <f>IF(AQ52="認定あり",AQ55,"－")</f>
        <v>2.5000000000000001E-2</v>
      </c>
      <c r="AR99" s="2" t="s">
        <v>317</v>
      </c>
    </row>
    <row r="100" spans="1:44" ht="15.95" customHeight="1" x14ac:dyDescent="0.15">
      <c r="C100" s="2" t="s">
        <v>286</v>
      </c>
      <c r="I100" s="2" t="s">
        <v>322</v>
      </c>
      <c r="AA100" s="2" t="s">
        <v>323</v>
      </c>
      <c r="AQ100" s="2" t="str">
        <f>IF(AND(AQ57="認定あり",AQ58&lt;=20000),AQ60,"－")</f>
        <v>－</v>
      </c>
      <c r="AR100" s="2" t="s">
        <v>347</v>
      </c>
    </row>
    <row r="101" spans="1:44" ht="15.95" customHeight="1" x14ac:dyDescent="0.15">
      <c r="C101" s="2" t="s">
        <v>399</v>
      </c>
      <c r="I101" s="2" t="str">
        <f>"③式により計算　(c1)["&amp;AQ87&amp;"]"</f>
        <v>③式により計算　(c1)[－]</v>
      </c>
      <c r="AA101" s="2" t="str">
        <f>"④式により計算　(c2)["&amp;AQ88&amp;"]"</f>
        <v>④式により計算　(c2)[－]</v>
      </c>
      <c r="AQ101" s="2" t="str">
        <f>IF(AND(AQ57="認定あり",AQ58&gt;20000),AQ61,"－")</f>
        <v>－</v>
      </c>
      <c r="AR101" s="2" t="s">
        <v>348</v>
      </c>
    </row>
    <row r="102" spans="1:44" ht="15.95" customHeight="1" x14ac:dyDescent="0.15">
      <c r="I102" s="2" t="s">
        <v>324</v>
      </c>
      <c r="AA102" s="2" t="s">
        <v>325</v>
      </c>
      <c r="AQ102" s="2">
        <f>IF(AQ15="認定あり",AQ20,"－")</f>
        <v>0.22700000000000001</v>
      </c>
      <c r="AR102" s="2" t="s">
        <v>297</v>
      </c>
    </row>
    <row r="103" spans="1:44" ht="15.95" customHeight="1" x14ac:dyDescent="0.15">
      <c r="I103" s="2" t="str">
        <f>"⑯式により計算　(c3)["&amp;AQ89&amp;"]"</f>
        <v>⑯式により計算　(c3)[－]</v>
      </c>
      <c r="AA103" s="2" t="str">
        <f>"⑰式により計算　(c4)["&amp;AQ90&amp;"]"</f>
        <v>⑰式により計算　(c4)[－]</v>
      </c>
    </row>
    <row r="104" spans="1:44" ht="8.1" customHeight="1" x14ac:dyDescent="0.15"/>
    <row r="105" spans="1:44" ht="18.600000000000001" customHeight="1" x14ac:dyDescent="0.15">
      <c r="A105" s="250" t="s">
        <v>186</v>
      </c>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c r="AM105" s="251"/>
      <c r="AN105" s="251"/>
      <c r="AO105" s="252"/>
    </row>
    <row r="106" spans="1:44" ht="8.1" customHeight="1" x14ac:dyDescent="0.15"/>
    <row r="107" spans="1:44" ht="15.95" customHeight="1" x14ac:dyDescent="0.15">
      <c r="C107" s="2" t="s">
        <v>286</v>
      </c>
      <c r="I107" s="2" t="s">
        <v>322</v>
      </c>
      <c r="AA107" s="2" t="s">
        <v>323</v>
      </c>
    </row>
    <row r="108" spans="1:44" ht="15.95" customHeight="1" x14ac:dyDescent="0.15">
      <c r="C108" s="2" t="s">
        <v>399</v>
      </c>
      <c r="I108" s="2" t="str">
        <f>"⑤式により計算　(d1)["&amp;AQ91&amp;"]"</f>
        <v>⑤式により計算　(d1)[－]</v>
      </c>
      <c r="AA108" s="2" t="str">
        <f>"⑥式により計算　(d2)["&amp;AQ92&amp;"]"</f>
        <v>⑥式により計算　(d2)[－]</v>
      </c>
    </row>
    <row r="109" spans="1:44" ht="15.95" customHeight="1" x14ac:dyDescent="0.15">
      <c r="I109" s="2" t="s">
        <v>349</v>
      </c>
      <c r="AA109" s="2" t="s">
        <v>350</v>
      </c>
    </row>
    <row r="110" spans="1:44" ht="15.95" customHeight="1" x14ac:dyDescent="0.15">
      <c r="I110" s="2" t="str">
        <f>"⑱式により計算　(d3)["&amp;AQ93&amp;"]"</f>
        <v>⑱式により計算　(d3)[－]</v>
      </c>
      <c r="AA110" s="2" t="str">
        <f>"⑲式により計算　(d4)["&amp;AQ94&amp;"]"</f>
        <v>⑲式により計算　(d4)[－]</v>
      </c>
    </row>
    <row r="111" spans="1:44" ht="8.1" customHeight="1" x14ac:dyDescent="0.15"/>
    <row r="112" spans="1:44" ht="18.600000000000001" customHeight="1" x14ac:dyDescent="0.15">
      <c r="A112" s="250" t="s">
        <v>173</v>
      </c>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c r="AI112" s="251"/>
      <c r="AJ112" s="251"/>
      <c r="AK112" s="251"/>
      <c r="AL112" s="251"/>
      <c r="AM112" s="251"/>
      <c r="AN112" s="251"/>
      <c r="AO112" s="252"/>
    </row>
    <row r="113" spans="1:41" ht="8.1" customHeight="1" x14ac:dyDescent="0.15"/>
    <row r="114" spans="1:41" x14ac:dyDescent="0.15">
      <c r="C114" s="2" t="s">
        <v>286</v>
      </c>
      <c r="I114" s="2" t="s">
        <v>174</v>
      </c>
      <c r="AA114" s="2" t="s">
        <v>175</v>
      </c>
    </row>
    <row r="115" spans="1:41" x14ac:dyDescent="0.15">
      <c r="I115" s="2" t="s">
        <v>486</v>
      </c>
    </row>
    <row r="116" spans="1:41" ht="15.95" customHeight="1" x14ac:dyDescent="0.15">
      <c r="I116" s="2" t="str">
        <f>"⑧式により計算　(e2)["&amp;AQ98&amp;"]"</f>
        <v>⑧式により計算　(e2)[－]</v>
      </c>
      <c r="AA116" s="2" t="str">
        <f>"⑦式により計算　(e1)["&amp;AQ97&amp;"]"</f>
        <v>⑦式により計算　(e1)[0.025]</v>
      </c>
    </row>
    <row r="117" spans="1:41" ht="8.1" customHeight="1" x14ac:dyDescent="0.15"/>
    <row r="118" spans="1:41" ht="18.600000000000001" customHeight="1" x14ac:dyDescent="0.15">
      <c r="A118" s="250" t="s">
        <v>176</v>
      </c>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c r="AE118" s="251"/>
      <c r="AF118" s="251"/>
      <c r="AG118" s="251"/>
      <c r="AH118" s="251"/>
      <c r="AI118" s="251"/>
      <c r="AJ118" s="251"/>
      <c r="AK118" s="251"/>
      <c r="AL118" s="251"/>
      <c r="AM118" s="251"/>
      <c r="AN118" s="251"/>
      <c r="AO118" s="252"/>
    </row>
    <row r="119" spans="1:41" ht="8.1" customHeight="1" x14ac:dyDescent="0.15"/>
    <row r="120" spans="1:41" ht="15.95" customHeight="1" x14ac:dyDescent="0.15">
      <c r="C120" s="2" t="s">
        <v>286</v>
      </c>
      <c r="O120" s="2" t="s">
        <v>288</v>
      </c>
    </row>
    <row r="121" spans="1:41" ht="15.95" customHeight="1" x14ac:dyDescent="0.15">
      <c r="O121" s="2" t="str">
        <f>"⑨式により計算　(f)["&amp;AQ99&amp;"]"</f>
        <v>⑨式により計算　(f)[0.025]</v>
      </c>
    </row>
    <row r="122" spans="1:41" ht="8.1" customHeight="1" x14ac:dyDescent="0.15"/>
    <row r="123" spans="1:41" ht="18.600000000000001" customHeight="1" x14ac:dyDescent="0.15">
      <c r="A123" s="250" t="s">
        <v>177</v>
      </c>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2"/>
    </row>
    <row r="124" spans="1:41" ht="8.1" customHeight="1" x14ac:dyDescent="0.15"/>
    <row r="125" spans="1:41" ht="15.95" customHeight="1" x14ac:dyDescent="0.15">
      <c r="C125" s="2" t="s">
        <v>286</v>
      </c>
      <c r="I125" s="2" t="s">
        <v>289</v>
      </c>
      <c r="AA125" s="2" t="s">
        <v>290</v>
      </c>
    </row>
    <row r="126" spans="1:41" ht="15.95" customHeight="1" x14ac:dyDescent="0.15">
      <c r="I126" s="2" t="str">
        <f>"⑩式により計算　(g1)["&amp;AQ100&amp;"]"</f>
        <v>⑩式により計算　(g1)[－]</v>
      </c>
      <c r="AA126" s="2" t="str">
        <f>"⑪式により計算　(g2)["&amp;AQ101&amp;"]"</f>
        <v>⑪式により計算　(g2)[－]</v>
      </c>
    </row>
    <row r="127" spans="1:41" ht="8.1" customHeight="1" x14ac:dyDescent="0.15"/>
    <row r="128" spans="1:41" ht="18.600000000000001" customHeight="1" x14ac:dyDescent="0.15">
      <c r="A128" s="304" t="s">
        <v>178</v>
      </c>
      <c r="B128" s="226"/>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7"/>
    </row>
    <row r="129" spans="1:44" ht="18.600000000000001" customHeight="1" x14ac:dyDescent="0.15">
      <c r="A129" s="305" t="s">
        <v>396</v>
      </c>
      <c r="B129" s="305"/>
      <c r="C129" s="305"/>
      <c r="D129" s="305"/>
      <c r="E129" s="305"/>
      <c r="F129" s="305"/>
      <c r="G129" s="305"/>
      <c r="H129" s="305"/>
      <c r="I129" s="305"/>
      <c r="J129" s="305"/>
      <c r="K129" s="305"/>
      <c r="L129" s="305"/>
      <c r="M129" s="305"/>
      <c r="N129" s="305"/>
      <c r="O129" s="305"/>
      <c r="P129" s="305"/>
      <c r="Q129" s="305"/>
      <c r="R129" s="305"/>
      <c r="S129" s="305"/>
      <c r="T129" s="305"/>
      <c r="U129" s="305"/>
      <c r="V129" s="305"/>
      <c r="W129" s="305"/>
      <c r="X129" s="305"/>
      <c r="Y129" s="305"/>
      <c r="Z129" s="305"/>
      <c r="AA129" s="305"/>
      <c r="AB129" s="305"/>
      <c r="AC129" s="305"/>
      <c r="AD129" s="305"/>
      <c r="AE129" s="305"/>
      <c r="AF129" s="305"/>
      <c r="AG129" s="305"/>
      <c r="AH129" s="305"/>
      <c r="AI129" s="305"/>
      <c r="AJ129" s="305"/>
      <c r="AK129" s="305"/>
      <c r="AL129" s="305"/>
      <c r="AM129" s="305"/>
      <c r="AN129" s="305"/>
      <c r="AO129" s="305"/>
    </row>
    <row r="130" spans="1:44" ht="18.600000000000001" customHeight="1" x14ac:dyDescent="0.15"/>
    <row r="131" spans="1:44" ht="18.600000000000001" customHeight="1" x14ac:dyDescent="0.15">
      <c r="A131" s="2" t="str">
        <f>A$1</f>
        <v>滋LP様式第 13-9</v>
      </c>
      <c r="H131" s="2" t="s">
        <v>461</v>
      </c>
    </row>
    <row r="132" spans="1:44" ht="18.600000000000001" customHeight="1" x14ac:dyDescent="0.15">
      <c r="A132" s="312" t="str">
        <f>A$3</f>
        <v>事業所の名称：○○株式会社　</v>
      </c>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row>
    <row r="133" spans="1:44" ht="18.600000000000001" customHeight="1" x14ac:dyDescent="0.15">
      <c r="A133" s="2" t="s">
        <v>400</v>
      </c>
    </row>
    <row r="134" spans="1:44" ht="18.600000000000001" customHeight="1" x14ac:dyDescent="0.15">
      <c r="A134" s="14" t="s">
        <v>401</v>
      </c>
    </row>
    <row r="135" spans="1:44" ht="18.600000000000001" customHeight="1" x14ac:dyDescent="0.15">
      <c r="A135" s="164" t="str">
        <f>"(a)["&amp;AQ83&amp;"]＋(b)["&amp;AQ84&amp;"]＋(cd1)["&amp;AQ85&amp;"]＋(cd2)["&amp;AQ86&amp;"]＋(c3)["&amp;AQ89&amp;"]＋(c4)["&amp;AQ90&amp;"]＋(d3)["&amp;AQ93&amp;"]"</f>
        <v>(a)[－]＋(b)[0.227]＋(cd1)[0.024]＋(cd2)[－]＋(c3)[－]＋(c4)[－]＋(d3)[－]</v>
      </c>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5"/>
      <c r="AK135" s="165"/>
      <c r="AL135" s="165"/>
      <c r="AM135" s="165"/>
      <c r="AN135" s="165"/>
      <c r="AO135" s="165"/>
    </row>
    <row r="136" spans="1:44" ht="18.600000000000001" customHeight="1" x14ac:dyDescent="0.15">
      <c r="A136" s="164" t="str">
        <f>"＋(d4)["&amp;AQ94&amp;"]＋(c1)["&amp;AQ87&amp;"]＋(c2)["&amp;AQ88&amp;"]＋(d1)["&amp;AQ91&amp;"]＋(d2)["&amp;AQ92&amp;"]＋(e1)["&amp;AQ97&amp;"]＋(e2)["&amp;AQ98&amp;"]"</f>
        <v>＋(d4)[－]＋(c1)[－]＋(c2)[－]＋(d1)[－]＋(d2)[－]＋(e1)[0.025]＋(e2)[－]</v>
      </c>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row>
    <row r="137" spans="1:44" ht="18.600000000000001" customHeight="1" x14ac:dyDescent="0.15">
      <c r="A137" s="164" t="str">
        <f>"＋(f)["&amp;AQ99&amp;"]＋(g1)["&amp;AQ100&amp;"]＋(g2)["&amp;AQ101&amp;"]"</f>
        <v>＋(f)[0.025]＋(g1)[－]＋(g2)[－]</v>
      </c>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row>
    <row r="138" spans="1:44" ht="18.600000000000001" customHeight="1" x14ac:dyDescent="0.15">
      <c r="A138" s="2" t="str">
        <f>"＝["&amp;AQ139&amp;"] (小数点以下を切り上げ) → 保安業務資格者数["&amp;AQ140&amp;"人]"</f>
        <v>＝[0.301] (小数点以下を切り上げ) → 保安業務資格者数[1人]</v>
      </c>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row>
    <row r="139" spans="1:44" ht="18.600000000000001" customHeight="1" x14ac:dyDescent="0.15">
      <c r="AQ139" s="2">
        <f>SUM(AQ83,AQ84,AQ85,AQ86,AQ89,AQ90,AQ93,AQ94,AQ87,AQ88,AQ91,AQ92,AQ97,AQ98,AQ99,AQ100,AQ101)</f>
        <v>0.30100000000000005</v>
      </c>
      <c r="AR139" s="2" t="s">
        <v>293</v>
      </c>
    </row>
    <row r="140" spans="1:44" ht="18.600000000000001" customHeight="1" x14ac:dyDescent="0.15">
      <c r="A140" s="14" t="s">
        <v>402</v>
      </c>
      <c r="AQ140" s="2">
        <f>ROUNDUP(AQ139,0)</f>
        <v>1</v>
      </c>
      <c r="AR140" s="2" t="s">
        <v>294</v>
      </c>
    </row>
    <row r="141" spans="1:44" ht="18.600000000000001" customHeight="1" x14ac:dyDescent="0.15">
      <c r="A141" s="164" t="str">
        <f>"(cd2)["&amp;AQ86&amp;"]＋(c4)["&amp;AQ90&amp;"]＋(d4)["&amp;AQ94&amp;"]＋(c2)["&amp;AQ88&amp;"]＋(d2)["&amp;AQ92&amp;"]"</f>
        <v>(cd2)[－]＋(c4)[－]＋(d4)[－]＋(c2)[－]＋(d2)[－]</v>
      </c>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row>
    <row r="142" spans="1:44" ht="18.600000000000001" customHeight="1" x14ac:dyDescent="0.15">
      <c r="A142" s="164" t="str">
        <f>"＝["&amp;AQ145&amp;"] (小数点以下を切り上げ) → 補助員数["&amp;AQ146&amp;"人]"</f>
        <v>＝[－] (小数点以下を切り上げ) → 補助員数[－人]</v>
      </c>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row>
    <row r="143" spans="1:44" ht="18.600000000000001" customHeight="1" x14ac:dyDescent="0.15"/>
    <row r="144" spans="1:44" ht="18.600000000000001" customHeight="1" x14ac:dyDescent="0.15">
      <c r="A144" s="14" t="s">
        <v>403</v>
      </c>
    </row>
    <row r="145" spans="1:44" ht="18.600000000000001" customHeight="1" x14ac:dyDescent="0.15">
      <c r="A145" s="164" t="str">
        <f>"(f)["&amp;AQ99&amp;"] (小数点以下を切り上げ) → 緊急時対応の常駐者数["&amp;AQ147&amp;"人]"</f>
        <v>(f)[0.025] (小数点以下を切り上げ) → 緊急時対応の常駐者数[1人]</v>
      </c>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Q145" s="2" t="str">
        <f>IF(OR(AQ24="補助員あり",AQ34="補助員あり"),SUM(AQ86,AQ90,AQ94,AQ88,AQ92),"－")</f>
        <v>－</v>
      </c>
      <c r="AR145" s="2" t="s">
        <v>358</v>
      </c>
    </row>
    <row r="146" spans="1:44" ht="18.600000000000001" customHeight="1" x14ac:dyDescent="0.15">
      <c r="AQ146" s="2" t="str">
        <f>IF(OR(AQ24="補助員あり",AQ34="補助員あり"),ROUNDUP(AQ145,0),"－")</f>
        <v>－</v>
      </c>
      <c r="AR146" s="2" t="s">
        <v>295</v>
      </c>
    </row>
    <row r="147" spans="1:44" ht="18.600000000000001" customHeight="1" x14ac:dyDescent="0.15">
      <c r="A147" s="2" t="s">
        <v>539</v>
      </c>
      <c r="AQ147" s="2">
        <f>IF(AQ52="認定あり",ROUNDUP(AQ99,0),"－")</f>
        <v>1</v>
      </c>
      <c r="AR147" s="2" t="s">
        <v>296</v>
      </c>
    </row>
    <row r="148" spans="1:44" ht="18.600000000000001" customHeight="1" x14ac:dyDescent="0.15">
      <c r="B148" s="289"/>
      <c r="C148" s="289"/>
      <c r="D148" s="289"/>
      <c r="E148" s="289"/>
      <c r="F148" s="289"/>
      <c r="G148" s="289" t="s">
        <v>181</v>
      </c>
      <c r="H148" s="289"/>
      <c r="I148" s="289"/>
      <c r="J148" s="289"/>
      <c r="K148" s="289"/>
      <c r="L148" s="289"/>
      <c r="M148" s="289"/>
      <c r="N148" s="289"/>
      <c r="O148" s="289"/>
      <c r="P148" s="289"/>
      <c r="Q148" s="289"/>
      <c r="R148" s="289" t="s">
        <v>182</v>
      </c>
      <c r="S148" s="289"/>
      <c r="T148" s="289"/>
      <c r="U148" s="289"/>
      <c r="V148" s="289"/>
      <c r="W148" s="289"/>
      <c r="X148" s="289" t="s">
        <v>183</v>
      </c>
      <c r="Y148" s="289"/>
      <c r="Z148" s="289"/>
      <c r="AA148" s="289"/>
      <c r="AB148" s="289"/>
      <c r="AC148" s="289"/>
      <c r="AD148" s="289"/>
      <c r="AE148" s="289"/>
      <c r="AF148" s="289"/>
      <c r="AG148" s="289"/>
      <c r="AH148" s="289"/>
      <c r="AI148" s="289"/>
      <c r="AQ148" s="2">
        <f>IF(入力!D35="",様式14!$AQ$5&amp;様式14!$AR$5&amp;ROW(入力!D35)&amp;" 未入力",入力!D35)</f>
        <v>3</v>
      </c>
      <c r="AR148" s="2" t="s">
        <v>465</v>
      </c>
    </row>
    <row r="149" spans="1:44" ht="33" customHeight="1" x14ac:dyDescent="0.15">
      <c r="B149" s="289" t="s">
        <v>179</v>
      </c>
      <c r="C149" s="289"/>
      <c r="D149" s="289"/>
      <c r="E149" s="289"/>
      <c r="F149" s="289"/>
      <c r="G149" s="289">
        <f>AQ140</f>
        <v>1</v>
      </c>
      <c r="H149" s="289"/>
      <c r="I149" s="289"/>
      <c r="J149" s="289"/>
      <c r="K149" s="289"/>
      <c r="L149" s="289"/>
      <c r="M149" s="289"/>
      <c r="N149" s="289"/>
      <c r="O149" s="289"/>
      <c r="P149" s="289"/>
      <c r="Q149" s="289"/>
      <c r="R149" s="289" t="str">
        <f>IF(OR(AQ24="補助員あり",AQ34="補助員あり"),AQ146,"－")</f>
        <v>－</v>
      </c>
      <c r="S149" s="289"/>
      <c r="T149" s="289"/>
      <c r="U149" s="289"/>
      <c r="V149" s="289"/>
      <c r="W149" s="289"/>
      <c r="X149" s="289">
        <f>AQ147</f>
        <v>1</v>
      </c>
      <c r="Y149" s="289"/>
      <c r="Z149" s="289"/>
      <c r="AA149" s="289"/>
      <c r="AB149" s="289"/>
      <c r="AC149" s="289"/>
      <c r="AD149" s="289"/>
      <c r="AE149" s="289"/>
      <c r="AF149" s="289"/>
      <c r="AG149" s="289"/>
      <c r="AH149" s="289"/>
      <c r="AI149" s="289"/>
      <c r="AQ149" s="2">
        <f>IF(AQ15="認定あり",IF(入力!D36="",様式14!$AQ$5&amp;様式14!$AR$5&amp;ROW(入力!D36)&amp;" 未入力",入力!D36),0)</f>
        <v>0</v>
      </c>
      <c r="AR149" s="2" t="s">
        <v>360</v>
      </c>
    </row>
    <row r="150" spans="1:44" ht="18.600000000000001" customHeight="1" x14ac:dyDescent="0.15">
      <c r="B150" s="313" t="s">
        <v>180</v>
      </c>
      <c r="C150" s="313"/>
      <c r="D150" s="313"/>
      <c r="E150" s="313"/>
      <c r="F150" s="313"/>
      <c r="G150" s="313">
        <f>AQ148</f>
        <v>3</v>
      </c>
      <c r="H150" s="313"/>
      <c r="I150" s="313"/>
      <c r="J150" s="313"/>
      <c r="K150" s="313"/>
      <c r="L150" s="313"/>
      <c r="M150" s="313"/>
      <c r="N150" s="313"/>
      <c r="O150" s="313"/>
      <c r="P150" s="313"/>
      <c r="Q150" s="313"/>
      <c r="R150" s="313" t="str">
        <f>IF(OR(AQ24="補助員あり",AQ34="補助員あり"),AQ150,"－")</f>
        <v>－</v>
      </c>
      <c r="S150" s="313"/>
      <c r="T150" s="313"/>
      <c r="U150" s="313"/>
      <c r="V150" s="313"/>
      <c r="W150" s="313"/>
      <c r="X150" s="313">
        <f>IF(AQ52="認定あり",SUM(AQ152,AQ153),"－")</f>
        <v>2</v>
      </c>
      <c r="Y150" s="313"/>
      <c r="Z150" s="313"/>
      <c r="AA150" s="313"/>
      <c r="AB150" s="313"/>
      <c r="AC150" s="313"/>
      <c r="AD150" s="313"/>
      <c r="AE150" s="313"/>
      <c r="AF150" s="313"/>
      <c r="AG150" s="313"/>
      <c r="AH150" s="313"/>
      <c r="AI150" s="313"/>
      <c r="AQ150" s="2">
        <f>IF(COUNTIF(入力!D37,"*伴って*")+COUNTIF(入力!D38,"*伴って*"),IF(入力!D39="",様式14!$AQ$5&amp;様式14!$AR$5&amp;ROW(入力!D39)&amp;" 未入力",入力!D39),0)</f>
        <v>0</v>
      </c>
      <c r="AR150" s="2" t="s">
        <v>359</v>
      </c>
    </row>
    <row r="151" spans="1:44" ht="18.600000000000001" customHeight="1" x14ac:dyDescent="0.15">
      <c r="B151" s="285"/>
      <c r="C151" s="285"/>
      <c r="D151" s="285"/>
      <c r="E151" s="285"/>
      <c r="F151" s="285"/>
      <c r="G151" s="285" t="str">
        <f>"（内調査員数"&amp;IF(AQ15="認定あり",AQ149,"－")&amp;"）"</f>
        <v>（内調査員数0）</v>
      </c>
      <c r="H151" s="285"/>
      <c r="I151" s="285"/>
      <c r="J151" s="285"/>
      <c r="K151" s="285"/>
      <c r="L151" s="285"/>
      <c r="M151" s="285"/>
      <c r="N151" s="285"/>
      <c r="O151" s="285"/>
      <c r="P151" s="285"/>
      <c r="Q151" s="285"/>
      <c r="R151" s="285"/>
      <c r="S151" s="285"/>
      <c r="T151" s="285"/>
      <c r="U151" s="285"/>
      <c r="V151" s="285"/>
      <c r="W151" s="285"/>
      <c r="X151" s="285"/>
      <c r="Y151" s="285"/>
      <c r="Z151" s="285"/>
      <c r="AA151" s="285"/>
      <c r="AB151" s="285"/>
      <c r="AC151" s="285"/>
      <c r="AD151" s="285"/>
      <c r="AE151" s="285"/>
      <c r="AF151" s="285"/>
      <c r="AG151" s="285"/>
      <c r="AH151" s="285"/>
      <c r="AI151" s="285"/>
      <c r="AQ151" s="2" t="str">
        <f>IF(AND(入力!D73="",AQ52="認定あり"),様式14!$AQ$5&amp;様式14!$AR$5&amp;ROW(入力!D73)&amp;" 未入力",入力!D73)</f>
        <v>保安業務資格者を事業所に配置していないときがある</v>
      </c>
      <c r="AR151" s="2" t="s">
        <v>377</v>
      </c>
    </row>
    <row r="152" spans="1:44" ht="18.600000000000001" customHeight="1" x14ac:dyDescent="0.15">
      <c r="A152" s="276" t="s">
        <v>184</v>
      </c>
      <c r="B152" s="276"/>
      <c r="C152" s="276"/>
      <c r="D152" s="276"/>
      <c r="E152" s="276"/>
      <c r="F152" s="276"/>
      <c r="G152" s="276"/>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276"/>
      <c r="AQ152" s="2">
        <f>IF(AND(入力!D74="",AQ52="認定あり",COUNTIF(入力!D73,"*配置する*")),様式14!$AQ$5&amp;様式14!$AR$5&amp;ROW(入力!D74)&amp;" 未入力",入力!D74)</f>
        <v>0</v>
      </c>
      <c r="AR152" s="2" t="s">
        <v>375</v>
      </c>
    </row>
    <row r="153" spans="1:44" ht="18.600000000000001" customHeight="1" x14ac:dyDescent="0.15">
      <c r="A153" s="276" t="s">
        <v>185</v>
      </c>
      <c r="B153" s="276"/>
      <c r="C153" s="276"/>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6"/>
      <c r="AF153" s="276"/>
      <c r="AG153" s="276"/>
      <c r="AH153" s="276"/>
      <c r="AI153" s="276"/>
      <c r="AJ153" s="276"/>
      <c r="AK153" s="276"/>
      <c r="AL153" s="276"/>
      <c r="AM153" s="276"/>
      <c r="AN153" s="276"/>
      <c r="AO153" s="276"/>
      <c r="AQ153" s="2">
        <f>IF(AND(入力!D75="",AQ52="認定あり"),様式14!$AQ$5&amp;様式14!$AR$5&amp;ROW(入力!D75)&amp;" 未入力",入力!D75)</f>
        <v>2</v>
      </c>
      <c r="AR153" s="2" t="s">
        <v>376</v>
      </c>
    </row>
    <row r="154" spans="1:44" ht="18.600000000000001" customHeight="1" x14ac:dyDescent="0.15"/>
    <row r="155" spans="1:44" ht="18.600000000000001" customHeight="1" x14ac:dyDescent="0.15">
      <c r="A155" s="2" t="str">
        <f>A$1</f>
        <v>滋LP様式第 13-9</v>
      </c>
      <c r="H155" s="2" t="s">
        <v>462</v>
      </c>
    </row>
    <row r="156" spans="1:44" ht="18.600000000000001" customHeight="1" x14ac:dyDescent="0.15">
      <c r="A156" s="312" t="str">
        <f>A$3</f>
        <v>事業所の名称：○○株式会社　</v>
      </c>
      <c r="B156" s="312"/>
      <c r="C156" s="312"/>
      <c r="D156" s="312"/>
      <c r="E156" s="312"/>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c r="AE156" s="312"/>
      <c r="AF156" s="312"/>
      <c r="AG156" s="312"/>
      <c r="AH156" s="312"/>
      <c r="AI156" s="312"/>
      <c r="AJ156" s="312"/>
      <c r="AK156" s="312"/>
      <c r="AL156" s="312"/>
      <c r="AM156" s="312"/>
      <c r="AN156" s="312"/>
      <c r="AO156" s="312"/>
    </row>
    <row r="157" spans="1:44" ht="18.600000000000001" customHeight="1" x14ac:dyDescent="0.15">
      <c r="A157" s="14" t="s">
        <v>538</v>
      </c>
    </row>
    <row r="158" spans="1:44" ht="14.1" customHeight="1" x14ac:dyDescent="0.15">
      <c r="A158" s="331" t="s">
        <v>197</v>
      </c>
      <c r="B158" s="332"/>
      <c r="C158" s="332"/>
      <c r="D158" s="332"/>
      <c r="E158" s="332"/>
      <c r="F158" s="332"/>
      <c r="G158" s="332"/>
      <c r="H158" s="332"/>
      <c r="I158" s="332"/>
      <c r="J158" s="332"/>
      <c r="K158" s="332"/>
      <c r="L158" s="332"/>
      <c r="M158" s="332"/>
      <c r="N158" s="330" t="s">
        <v>195</v>
      </c>
      <c r="O158" s="330"/>
      <c r="P158" s="330"/>
      <c r="Q158" s="330"/>
      <c r="R158" s="330"/>
      <c r="S158" s="330"/>
      <c r="T158" s="330"/>
      <c r="U158" s="330"/>
      <c r="V158" s="330"/>
      <c r="W158" s="289" t="s">
        <v>191</v>
      </c>
      <c r="X158" s="289"/>
      <c r="Y158" s="289"/>
      <c r="Z158" s="289"/>
      <c r="AA158" s="289"/>
      <c r="AB158" s="289"/>
      <c r="AC158" s="289"/>
      <c r="AD158" s="289"/>
      <c r="AE158" s="289"/>
      <c r="AF158" s="289" t="s">
        <v>192</v>
      </c>
      <c r="AG158" s="289"/>
      <c r="AH158" s="289"/>
      <c r="AI158" s="289"/>
      <c r="AJ158" s="289"/>
      <c r="AK158" s="289"/>
      <c r="AL158" s="289"/>
      <c r="AM158" s="289"/>
      <c r="AN158" s="289"/>
    </row>
    <row r="159" spans="1:44" ht="14.1" customHeight="1" x14ac:dyDescent="0.15">
      <c r="A159" s="332"/>
      <c r="B159" s="332"/>
      <c r="C159" s="332"/>
      <c r="D159" s="332"/>
      <c r="E159" s="332"/>
      <c r="F159" s="332"/>
      <c r="G159" s="332"/>
      <c r="H159" s="332"/>
      <c r="I159" s="332"/>
      <c r="J159" s="332"/>
      <c r="K159" s="332"/>
      <c r="L159" s="332"/>
      <c r="M159" s="332"/>
      <c r="N159" s="329" t="s">
        <v>21</v>
      </c>
      <c r="O159" s="329"/>
      <c r="P159" s="329"/>
      <c r="Q159" s="329"/>
      <c r="R159" s="329"/>
      <c r="S159" s="329"/>
      <c r="T159" s="329"/>
      <c r="U159" s="329"/>
      <c r="V159" s="329"/>
      <c r="W159" s="289"/>
      <c r="X159" s="289"/>
      <c r="Y159" s="289"/>
      <c r="Z159" s="289"/>
      <c r="AA159" s="289"/>
      <c r="AB159" s="289"/>
      <c r="AC159" s="289"/>
      <c r="AD159" s="289"/>
      <c r="AE159" s="289"/>
      <c r="AF159" s="289"/>
      <c r="AG159" s="289"/>
      <c r="AH159" s="289"/>
      <c r="AI159" s="289"/>
      <c r="AJ159" s="289"/>
      <c r="AK159" s="289"/>
      <c r="AL159" s="289"/>
      <c r="AM159" s="289"/>
      <c r="AN159" s="289"/>
      <c r="AQ159" s="2">
        <f>SUM(AQ83,AQ85,AQ86,AQ87,AQ88,AQ89,AQ90,AQ91,AQ92,AQ93,AQ94,AQ99)</f>
        <v>4.9000000000000002E-2</v>
      </c>
      <c r="AR159" s="2" t="s">
        <v>551</v>
      </c>
    </row>
    <row r="160" spans="1:44" ht="27.95" customHeight="1" x14ac:dyDescent="0.15">
      <c r="A160" s="296" t="s">
        <v>187</v>
      </c>
      <c r="B160" s="296"/>
      <c r="C160" s="296"/>
      <c r="D160" s="296"/>
      <c r="E160" s="296"/>
      <c r="F160" s="296"/>
      <c r="G160" s="296"/>
      <c r="H160" s="296"/>
      <c r="I160" s="296"/>
      <c r="J160" s="296"/>
      <c r="K160" s="296"/>
      <c r="L160" s="296"/>
      <c r="M160" s="296"/>
      <c r="N160" s="324" t="str">
        <f>"(a)["&amp;AQ83&amp;"]"</f>
        <v>(a)[－]</v>
      </c>
      <c r="O160" s="324"/>
      <c r="P160" s="324"/>
      <c r="Q160" s="324"/>
      <c r="R160" s="324"/>
      <c r="S160" s="324"/>
      <c r="T160" s="324"/>
      <c r="U160" s="324"/>
      <c r="V160" s="324"/>
      <c r="W160" s="324" t="str">
        <f>N160</f>
        <v>(a)[－]</v>
      </c>
      <c r="X160" s="324"/>
      <c r="Y160" s="324"/>
      <c r="Z160" s="324"/>
      <c r="AA160" s="324"/>
      <c r="AB160" s="324"/>
      <c r="AC160" s="324"/>
      <c r="AD160" s="324"/>
      <c r="AE160" s="324"/>
      <c r="AF160" s="324" t="str">
        <f>N160</f>
        <v>(a)[－]</v>
      </c>
      <c r="AG160" s="324"/>
      <c r="AH160" s="324"/>
      <c r="AI160" s="324"/>
      <c r="AJ160" s="324"/>
      <c r="AK160" s="324"/>
      <c r="AL160" s="324"/>
      <c r="AM160" s="324"/>
      <c r="AN160" s="324"/>
      <c r="AQ160" s="2">
        <f>SUM(AQ83,AQ85,AQ86,AQ87,AQ88,AQ89,AQ90,AQ91,AQ92,AQ93,AQ94,AQ99)</f>
        <v>4.9000000000000002E-2</v>
      </c>
      <c r="AR160" s="2" t="s">
        <v>540</v>
      </c>
    </row>
    <row r="161" spans="1:44" ht="27.95" customHeight="1" x14ac:dyDescent="0.15">
      <c r="A161" s="296" t="s">
        <v>188</v>
      </c>
      <c r="B161" s="296"/>
      <c r="C161" s="296"/>
      <c r="D161" s="296"/>
      <c r="E161" s="296"/>
      <c r="F161" s="296"/>
      <c r="G161" s="296"/>
      <c r="H161" s="296"/>
      <c r="I161" s="296"/>
      <c r="J161" s="296"/>
      <c r="K161" s="296"/>
      <c r="L161" s="296"/>
      <c r="M161" s="296"/>
      <c r="N161" s="325"/>
      <c r="O161" s="325"/>
      <c r="P161" s="325"/>
      <c r="Q161" s="325"/>
      <c r="R161" s="325"/>
      <c r="S161" s="325"/>
      <c r="T161" s="325"/>
      <c r="U161" s="325"/>
      <c r="V161" s="325"/>
      <c r="W161" s="325"/>
      <c r="X161" s="325"/>
      <c r="Y161" s="325"/>
      <c r="Z161" s="325"/>
      <c r="AA161" s="325"/>
      <c r="AB161" s="325"/>
      <c r="AC161" s="325"/>
      <c r="AD161" s="325"/>
      <c r="AE161" s="325"/>
      <c r="AF161" s="324" t="str">
        <f>"(h)["&amp;AQ102&amp;"]"</f>
        <v>(h)[0.227]</v>
      </c>
      <c r="AG161" s="324"/>
      <c r="AH161" s="324"/>
      <c r="AI161" s="324"/>
      <c r="AJ161" s="324"/>
      <c r="AK161" s="324"/>
      <c r="AL161" s="324"/>
      <c r="AM161" s="324"/>
      <c r="AN161" s="324"/>
      <c r="AQ161" s="2">
        <f>SUM(AQ83,AQ85,AQ86,AQ102,AQ87,AQ88,AQ89,AQ90,AQ91,AQ92,AQ93,AQ94,AQ99)</f>
        <v>0.27600000000000002</v>
      </c>
      <c r="AR161" s="2" t="s">
        <v>541</v>
      </c>
    </row>
    <row r="162" spans="1:44" ht="14.1" customHeight="1" x14ac:dyDescent="0.15">
      <c r="A162" s="314" t="s">
        <v>353</v>
      </c>
      <c r="B162" s="315"/>
      <c r="C162" s="315"/>
      <c r="D162" s="315"/>
      <c r="E162" s="315"/>
      <c r="F162" s="315"/>
      <c r="G162" s="315"/>
      <c r="H162" s="315"/>
      <c r="I162" s="315"/>
      <c r="J162" s="315"/>
      <c r="K162" s="315"/>
      <c r="L162" s="315"/>
      <c r="M162" s="316"/>
      <c r="N162" s="317" t="str">
        <f>"(cd1)["&amp;AQ85&amp;"]"&amp;CHAR(10)&amp;"(cd2)["&amp;AQ86&amp;"]"</f>
        <v>(cd1)[0.024]
(cd2)[－]</v>
      </c>
      <c r="O162" s="318"/>
      <c r="P162" s="318"/>
      <c r="Q162" s="318"/>
      <c r="R162" s="318"/>
      <c r="S162" s="318"/>
      <c r="T162" s="318"/>
      <c r="U162" s="318"/>
      <c r="V162" s="319"/>
      <c r="W162" s="317" t="str">
        <f>N162</f>
        <v>(cd1)[0.024]
(cd2)[－]</v>
      </c>
      <c r="X162" s="318"/>
      <c r="Y162" s="318"/>
      <c r="Z162" s="318"/>
      <c r="AA162" s="318"/>
      <c r="AB162" s="318"/>
      <c r="AC162" s="318"/>
      <c r="AD162" s="318"/>
      <c r="AE162" s="319"/>
      <c r="AF162" s="317" t="str">
        <f>N162</f>
        <v>(cd1)[0.024]
(cd2)[－]</v>
      </c>
      <c r="AG162" s="318"/>
      <c r="AH162" s="318"/>
      <c r="AI162" s="318"/>
      <c r="AJ162" s="318"/>
      <c r="AK162" s="318"/>
      <c r="AL162" s="318"/>
      <c r="AM162" s="318"/>
      <c r="AN162" s="319"/>
      <c r="AQ162" s="2">
        <f>SUM(AQ83,AQ85,AQ86,AQ102,AQ87,AQ88,AQ89,AQ90,AQ91,AQ92,AQ93,AQ94,AQ99)</f>
        <v>0.27600000000000002</v>
      </c>
      <c r="AR162" s="2" t="s">
        <v>542</v>
      </c>
    </row>
    <row r="163" spans="1:44" ht="14.1" customHeight="1" x14ac:dyDescent="0.15">
      <c r="A163" s="326" t="s">
        <v>354</v>
      </c>
      <c r="B163" s="327"/>
      <c r="C163" s="327"/>
      <c r="D163" s="327"/>
      <c r="E163" s="327"/>
      <c r="F163" s="327"/>
      <c r="G163" s="327"/>
      <c r="H163" s="327"/>
      <c r="I163" s="327"/>
      <c r="J163" s="327"/>
      <c r="K163" s="327"/>
      <c r="L163" s="327"/>
      <c r="M163" s="328"/>
      <c r="N163" s="320"/>
      <c r="O163" s="321"/>
      <c r="P163" s="321"/>
      <c r="Q163" s="321"/>
      <c r="R163" s="321"/>
      <c r="S163" s="321"/>
      <c r="T163" s="321"/>
      <c r="U163" s="321"/>
      <c r="V163" s="322"/>
      <c r="W163" s="320"/>
      <c r="X163" s="321"/>
      <c r="Y163" s="321"/>
      <c r="Z163" s="321"/>
      <c r="AA163" s="321"/>
      <c r="AB163" s="321"/>
      <c r="AC163" s="321"/>
      <c r="AD163" s="321"/>
      <c r="AE163" s="322"/>
      <c r="AF163" s="320"/>
      <c r="AG163" s="321"/>
      <c r="AH163" s="321"/>
      <c r="AI163" s="321"/>
      <c r="AJ163" s="321"/>
      <c r="AK163" s="321"/>
      <c r="AL163" s="321"/>
      <c r="AM163" s="321"/>
      <c r="AN163" s="322"/>
      <c r="AQ163" s="2">
        <f>SUM(AQ83,AQ95,AQ96,AQ91,AQ92,AQ93,AQ94,AQ99)</f>
        <v>4.3999999999999997E-2</v>
      </c>
      <c r="AR163" s="2" t="s">
        <v>543</v>
      </c>
    </row>
    <row r="164" spans="1:44" ht="56.1" customHeight="1" x14ac:dyDescent="0.15">
      <c r="A164" s="296" t="s">
        <v>189</v>
      </c>
      <c r="B164" s="296"/>
      <c r="C164" s="296"/>
      <c r="D164" s="296"/>
      <c r="E164" s="296"/>
      <c r="F164" s="296"/>
      <c r="G164" s="296"/>
      <c r="H164" s="296"/>
      <c r="I164" s="296"/>
      <c r="J164" s="296"/>
      <c r="K164" s="296"/>
      <c r="L164" s="296"/>
      <c r="M164" s="296"/>
      <c r="N164" s="324" t="str">
        <f>"(c1)["&amp;AQ87&amp;"]"&amp;CHAR(10)&amp;"(c2)["&amp;AQ88&amp;"]"&amp;CHAR(10)&amp;"(c3)["&amp;AQ89&amp;"]"&amp;CHAR(10)&amp;"(c4)["&amp;AQ90&amp;"]"</f>
        <v>(c1)[－]
(c2)[－]
(c3)[－]
(c4)[－]</v>
      </c>
      <c r="O164" s="324"/>
      <c r="P164" s="324"/>
      <c r="Q164" s="324"/>
      <c r="R164" s="324"/>
      <c r="S164" s="324"/>
      <c r="T164" s="324"/>
      <c r="U164" s="324"/>
      <c r="V164" s="324"/>
      <c r="W164" s="324" t="str">
        <f>N164</f>
        <v>(c1)[－]
(c2)[－]
(c3)[－]
(c4)[－]</v>
      </c>
      <c r="X164" s="324"/>
      <c r="Y164" s="324"/>
      <c r="Z164" s="324"/>
      <c r="AA164" s="324"/>
      <c r="AB164" s="324"/>
      <c r="AC164" s="324"/>
      <c r="AD164" s="324"/>
      <c r="AE164" s="324"/>
      <c r="AF164" s="324" t="str">
        <f>N164</f>
        <v>(c1)[－]
(c2)[－]
(c3)[－]
(c4)[－]</v>
      </c>
      <c r="AG164" s="324"/>
      <c r="AH164" s="324"/>
      <c r="AI164" s="324"/>
      <c r="AJ164" s="324"/>
      <c r="AK164" s="324"/>
      <c r="AL164" s="324"/>
      <c r="AM164" s="324"/>
      <c r="AN164" s="324"/>
      <c r="AQ164" s="2">
        <f>SUM(AQ83,AQ85,AQ86,AQ87,AQ88,AQ89,AQ90,AQ91,AQ92,AQ93,AQ94,AQ99)</f>
        <v>4.9000000000000002E-2</v>
      </c>
      <c r="AR164" s="2" t="s">
        <v>544</v>
      </c>
    </row>
    <row r="165" spans="1:44" ht="56.1" customHeight="1" x14ac:dyDescent="0.15">
      <c r="A165" s="296" t="s">
        <v>190</v>
      </c>
      <c r="B165" s="296"/>
      <c r="C165" s="296"/>
      <c r="D165" s="296"/>
      <c r="E165" s="296"/>
      <c r="F165" s="296"/>
      <c r="G165" s="296"/>
      <c r="H165" s="296"/>
      <c r="I165" s="296"/>
      <c r="J165" s="296"/>
      <c r="K165" s="296"/>
      <c r="L165" s="296"/>
      <c r="M165" s="296"/>
      <c r="N165" s="324" t="str">
        <f>"(d1)["&amp;AQ91&amp;"]"&amp;CHAR(10)&amp;"(d2)["&amp;AQ92&amp;"]"&amp;CHAR(10)&amp;"(d3)["&amp;AQ93&amp;"]"&amp;CHAR(10)&amp;"(d4)["&amp;AQ94&amp;"]"</f>
        <v>(d1)[－]
(d2)[－]
(d3)[－]
(d4)[－]</v>
      </c>
      <c r="O165" s="324"/>
      <c r="P165" s="324"/>
      <c r="Q165" s="324"/>
      <c r="R165" s="324"/>
      <c r="S165" s="324"/>
      <c r="T165" s="324"/>
      <c r="U165" s="324"/>
      <c r="V165" s="324"/>
      <c r="W165" s="324" t="str">
        <f>N165</f>
        <v>(d1)[－]
(d2)[－]
(d3)[－]
(d4)[－]</v>
      </c>
      <c r="X165" s="324"/>
      <c r="Y165" s="324"/>
      <c r="Z165" s="324"/>
      <c r="AA165" s="324"/>
      <c r="AB165" s="324"/>
      <c r="AC165" s="324"/>
      <c r="AD165" s="324"/>
      <c r="AE165" s="324"/>
      <c r="AF165" s="324" t="str">
        <f>N165</f>
        <v>(d1)[－]
(d2)[－]
(d3)[－]
(d4)[－]</v>
      </c>
      <c r="AG165" s="324"/>
      <c r="AH165" s="324"/>
      <c r="AI165" s="324"/>
      <c r="AJ165" s="324"/>
      <c r="AK165" s="324"/>
      <c r="AL165" s="324"/>
      <c r="AM165" s="324"/>
      <c r="AN165" s="324"/>
      <c r="AQ165" s="2">
        <f>IF(入力!D42="",様式14!$AQ$5&amp;様式14!$AR$5&amp;ROW(入力!D42)&amp;" 未入力",入力!D42)</f>
        <v>2</v>
      </c>
      <c r="AR165" s="2" t="s">
        <v>550</v>
      </c>
    </row>
    <row r="166" spans="1:44" ht="27.95" customHeight="1" x14ac:dyDescent="0.15">
      <c r="A166" s="296" t="s">
        <v>33</v>
      </c>
      <c r="B166" s="296"/>
      <c r="C166" s="296"/>
      <c r="D166" s="296"/>
      <c r="E166" s="296"/>
      <c r="F166" s="296"/>
      <c r="G166" s="296"/>
      <c r="H166" s="296"/>
      <c r="I166" s="296"/>
      <c r="J166" s="296"/>
      <c r="K166" s="296"/>
      <c r="L166" s="296"/>
      <c r="M166" s="296"/>
      <c r="N166" s="324" t="str">
        <f>"(f)["&amp;AQ99&amp;"]"</f>
        <v>(f)[0.025]</v>
      </c>
      <c r="O166" s="324"/>
      <c r="P166" s="324"/>
      <c r="Q166" s="324"/>
      <c r="R166" s="324"/>
      <c r="S166" s="324"/>
      <c r="T166" s="324"/>
      <c r="U166" s="324"/>
      <c r="V166" s="324"/>
      <c r="W166" s="324" t="str">
        <f>N166</f>
        <v>(f)[0.025]</v>
      </c>
      <c r="X166" s="324"/>
      <c r="Y166" s="324"/>
      <c r="Z166" s="324"/>
      <c r="AA166" s="324"/>
      <c r="AB166" s="324"/>
      <c r="AC166" s="324"/>
      <c r="AD166" s="324"/>
      <c r="AE166" s="324"/>
      <c r="AF166" s="324" t="str">
        <f>N166</f>
        <v>(f)[0.025]</v>
      </c>
      <c r="AG166" s="324"/>
      <c r="AH166" s="324"/>
      <c r="AI166" s="324"/>
      <c r="AJ166" s="324"/>
      <c r="AK166" s="324"/>
      <c r="AL166" s="324"/>
      <c r="AM166" s="324"/>
      <c r="AN166" s="324"/>
      <c r="AQ166" s="2">
        <f>IF(入力!D43="",様式14!$AQ$5&amp;様式14!$AR$5&amp;ROW(入力!D43)&amp;" 未入力",入力!D43)</f>
        <v>1</v>
      </c>
      <c r="AR166" s="2" t="s">
        <v>552</v>
      </c>
    </row>
    <row r="167" spans="1:44" ht="27.95" customHeight="1" x14ac:dyDescent="0.15">
      <c r="A167" s="289" t="s">
        <v>194</v>
      </c>
      <c r="B167" s="289"/>
      <c r="C167" s="289"/>
      <c r="D167" s="289"/>
      <c r="E167" s="289"/>
      <c r="F167" s="289"/>
      <c r="G167" s="289"/>
      <c r="H167" s="289"/>
      <c r="I167" s="289"/>
      <c r="J167" s="289"/>
      <c r="K167" s="289"/>
      <c r="L167" s="289"/>
      <c r="M167" s="289"/>
      <c r="N167" s="289">
        <f>AQ159</f>
        <v>4.9000000000000002E-2</v>
      </c>
      <c r="O167" s="289"/>
      <c r="P167" s="289"/>
      <c r="Q167" s="289"/>
      <c r="R167" s="289"/>
      <c r="S167" s="289"/>
      <c r="T167" s="289"/>
      <c r="U167" s="289"/>
      <c r="V167" s="289"/>
      <c r="W167" s="289">
        <f>AQ160</f>
        <v>4.9000000000000002E-2</v>
      </c>
      <c r="X167" s="289"/>
      <c r="Y167" s="289"/>
      <c r="Z167" s="289"/>
      <c r="AA167" s="289"/>
      <c r="AB167" s="289"/>
      <c r="AC167" s="289"/>
      <c r="AD167" s="289"/>
      <c r="AE167" s="289"/>
      <c r="AF167" s="289">
        <f>AQ161</f>
        <v>0.27600000000000002</v>
      </c>
      <c r="AG167" s="289"/>
      <c r="AH167" s="289"/>
      <c r="AI167" s="289"/>
      <c r="AJ167" s="289"/>
      <c r="AK167" s="289"/>
      <c r="AL167" s="289"/>
      <c r="AM167" s="289"/>
      <c r="AN167" s="289"/>
      <c r="AQ167" s="2">
        <f>IF(入力!D44="",様式14!$AQ$5&amp;様式14!$AR$5&amp;ROW(入力!D44)&amp;" 未入力",入力!D44)</f>
        <v>2</v>
      </c>
      <c r="AR167" s="2" t="s">
        <v>545</v>
      </c>
    </row>
    <row r="168" spans="1:44" ht="27.95" customHeight="1" thickBot="1" x14ac:dyDescent="0.2">
      <c r="A168" s="323" t="s">
        <v>193</v>
      </c>
      <c r="B168" s="323"/>
      <c r="C168" s="323"/>
      <c r="D168" s="323"/>
      <c r="E168" s="323"/>
      <c r="F168" s="323"/>
      <c r="G168" s="323"/>
      <c r="H168" s="323"/>
      <c r="I168" s="323"/>
      <c r="J168" s="323"/>
      <c r="K168" s="323"/>
      <c r="L168" s="323"/>
      <c r="M168" s="323"/>
      <c r="N168" s="323">
        <f>ROUNDUP(N167,0)</f>
        <v>1</v>
      </c>
      <c r="O168" s="323"/>
      <c r="P168" s="323"/>
      <c r="Q168" s="323"/>
      <c r="R168" s="323"/>
      <c r="S168" s="323"/>
      <c r="T168" s="323"/>
      <c r="U168" s="323"/>
      <c r="V168" s="323"/>
      <c r="W168" s="323">
        <f t="shared" ref="W168" si="0">ROUNDUP(W167,0)</f>
        <v>1</v>
      </c>
      <c r="X168" s="323"/>
      <c r="Y168" s="323"/>
      <c r="Z168" s="323"/>
      <c r="AA168" s="323"/>
      <c r="AB168" s="323"/>
      <c r="AC168" s="323"/>
      <c r="AD168" s="323"/>
      <c r="AE168" s="323"/>
      <c r="AF168" s="323">
        <f t="shared" ref="AF168" si="1">ROUNDUP(AF167,0)</f>
        <v>1</v>
      </c>
      <c r="AG168" s="323"/>
      <c r="AH168" s="323"/>
      <c r="AI168" s="323"/>
      <c r="AJ168" s="323"/>
      <c r="AK168" s="323"/>
      <c r="AL168" s="323"/>
      <c r="AM168" s="323"/>
      <c r="AN168" s="323"/>
      <c r="AQ168" s="2">
        <f>IF(入力!D45="",様式14!$AQ$5&amp;様式14!$AR$5&amp;ROW(入力!D45)&amp;" 未入力",入力!D45)</f>
        <v>2</v>
      </c>
      <c r="AR168" s="2" t="s">
        <v>546</v>
      </c>
    </row>
    <row r="169" spans="1:44" ht="27.95" customHeight="1" thickTop="1" x14ac:dyDescent="0.15">
      <c r="A169" s="333" t="s">
        <v>198</v>
      </c>
      <c r="B169" s="334"/>
      <c r="C169" s="334"/>
      <c r="D169" s="334"/>
      <c r="E169" s="334"/>
      <c r="F169" s="334"/>
      <c r="G169" s="334"/>
      <c r="H169" s="334"/>
      <c r="I169" s="334"/>
      <c r="J169" s="334"/>
      <c r="K169" s="334"/>
      <c r="L169" s="334"/>
      <c r="M169" s="334"/>
      <c r="N169" s="335" t="s">
        <v>24</v>
      </c>
      <c r="O169" s="166"/>
      <c r="P169" s="166"/>
      <c r="Q169" s="166"/>
      <c r="R169" s="166"/>
      <c r="S169" s="166"/>
      <c r="T169" s="166"/>
      <c r="U169" s="166"/>
      <c r="V169" s="336"/>
      <c r="W169" s="285" t="s">
        <v>25</v>
      </c>
      <c r="X169" s="285"/>
      <c r="Y169" s="285"/>
      <c r="Z169" s="285"/>
      <c r="AA169" s="285"/>
      <c r="AB169" s="285"/>
      <c r="AC169" s="285"/>
      <c r="AD169" s="285"/>
      <c r="AE169" s="285"/>
      <c r="AF169" s="285" t="s">
        <v>196</v>
      </c>
      <c r="AG169" s="285"/>
      <c r="AH169" s="285"/>
      <c r="AI169" s="285"/>
      <c r="AJ169" s="285"/>
      <c r="AK169" s="285"/>
      <c r="AL169" s="285"/>
      <c r="AM169" s="285"/>
      <c r="AN169" s="285"/>
      <c r="AQ169" s="2">
        <f>IF(入力!D46="",様式14!$AQ$5&amp;様式14!$AR$5&amp;ROW(入力!D46)&amp;" 未入力",入力!D46)</f>
        <v>1</v>
      </c>
      <c r="AR169" s="2" t="s">
        <v>547</v>
      </c>
    </row>
    <row r="170" spans="1:44" ht="27.95" customHeight="1" x14ac:dyDescent="0.15">
      <c r="A170" s="296" t="str">
        <f t="shared" ref="A170:A178" si="2">A160</f>
        <v>供給開始時点検・調査</v>
      </c>
      <c r="B170" s="296"/>
      <c r="C170" s="296"/>
      <c r="D170" s="296"/>
      <c r="E170" s="296"/>
      <c r="F170" s="296"/>
      <c r="G170" s="296"/>
      <c r="H170" s="296"/>
      <c r="I170" s="296"/>
      <c r="J170" s="296"/>
      <c r="K170" s="296"/>
      <c r="L170" s="296"/>
      <c r="M170" s="296"/>
      <c r="N170" s="324" t="str">
        <f>N160</f>
        <v>(a)[－]</v>
      </c>
      <c r="O170" s="324"/>
      <c r="P170" s="324"/>
      <c r="Q170" s="324"/>
      <c r="R170" s="324"/>
      <c r="S170" s="324"/>
      <c r="T170" s="324"/>
      <c r="U170" s="324"/>
      <c r="V170" s="324"/>
      <c r="W170" s="324" t="str">
        <f>N160</f>
        <v>(a)[－]</v>
      </c>
      <c r="X170" s="324"/>
      <c r="Y170" s="324"/>
      <c r="Z170" s="324"/>
      <c r="AA170" s="324"/>
      <c r="AB170" s="324"/>
      <c r="AC170" s="324"/>
      <c r="AD170" s="324"/>
      <c r="AE170" s="324"/>
      <c r="AF170" s="324" t="str">
        <f>N160</f>
        <v>(a)[－]</v>
      </c>
      <c r="AG170" s="324"/>
      <c r="AH170" s="324"/>
      <c r="AI170" s="324"/>
      <c r="AJ170" s="324"/>
      <c r="AK170" s="324"/>
      <c r="AL170" s="324"/>
      <c r="AM170" s="324"/>
      <c r="AN170" s="324"/>
      <c r="AQ170" s="2">
        <f>IF(入力!D47="",様式14!$AQ$5&amp;様式14!$AR$5&amp;ROW(入力!D47)&amp;" 未入力",入力!D47)</f>
        <v>1</v>
      </c>
      <c r="AR170" s="2" t="s">
        <v>548</v>
      </c>
    </row>
    <row r="171" spans="1:44" ht="27.95" customHeight="1" x14ac:dyDescent="0.15">
      <c r="A171" s="296" t="str">
        <f t="shared" si="2"/>
        <v>容器交換時等供給設備点検</v>
      </c>
      <c r="B171" s="296"/>
      <c r="C171" s="296"/>
      <c r="D171" s="296"/>
      <c r="E171" s="296"/>
      <c r="F171" s="296"/>
      <c r="G171" s="296"/>
      <c r="H171" s="296"/>
      <c r="I171" s="296"/>
      <c r="J171" s="296"/>
      <c r="K171" s="296"/>
      <c r="L171" s="296"/>
      <c r="M171" s="296"/>
      <c r="N171" s="324" t="str">
        <f>AF161</f>
        <v>(h)[0.227]</v>
      </c>
      <c r="O171" s="324"/>
      <c r="P171" s="324"/>
      <c r="Q171" s="324"/>
      <c r="R171" s="324"/>
      <c r="S171" s="324"/>
      <c r="T171" s="324"/>
      <c r="U171" s="324"/>
      <c r="V171" s="324"/>
      <c r="W171" s="325"/>
      <c r="X171" s="325"/>
      <c r="Y171" s="325"/>
      <c r="Z171" s="325"/>
      <c r="AA171" s="325"/>
      <c r="AB171" s="325"/>
      <c r="AC171" s="325"/>
      <c r="AD171" s="325"/>
      <c r="AE171" s="325"/>
      <c r="AF171" s="325"/>
      <c r="AG171" s="325"/>
      <c r="AH171" s="325"/>
      <c r="AI171" s="325"/>
      <c r="AJ171" s="325"/>
      <c r="AK171" s="325"/>
      <c r="AL171" s="325"/>
      <c r="AM171" s="325"/>
      <c r="AN171" s="325"/>
      <c r="AQ171" s="2">
        <f>IF(入力!D48="",様式14!$AQ$5&amp;様式14!$AR$5&amp;ROW(入力!D48)&amp;" 未入力",入力!D48)</f>
        <v>1</v>
      </c>
      <c r="AR171" s="2" t="s">
        <v>549</v>
      </c>
    </row>
    <row r="172" spans="1:44" ht="14.1" customHeight="1" x14ac:dyDescent="0.15">
      <c r="A172" s="314" t="str">
        <f t="shared" si="2"/>
        <v>【特例】定期供給設備点検</v>
      </c>
      <c r="B172" s="337"/>
      <c r="C172" s="337"/>
      <c r="D172" s="337"/>
      <c r="E172" s="337"/>
      <c r="F172" s="337"/>
      <c r="G172" s="337"/>
      <c r="H172" s="337"/>
      <c r="I172" s="337"/>
      <c r="J172" s="337"/>
      <c r="K172" s="337"/>
      <c r="L172" s="337"/>
      <c r="M172" s="338"/>
      <c r="N172" s="317" t="str">
        <f>N162</f>
        <v>(cd1)[0.024]
(cd2)[－]</v>
      </c>
      <c r="O172" s="318"/>
      <c r="P172" s="318"/>
      <c r="Q172" s="318"/>
      <c r="R172" s="318"/>
      <c r="S172" s="318"/>
      <c r="T172" s="318"/>
      <c r="U172" s="318"/>
      <c r="V172" s="319"/>
      <c r="W172" s="317" t="str">
        <f>"(d5)["&amp;AQ95&amp;"]"&amp;CHAR(10)&amp;"(d6)["&amp;AQ96&amp;"]"</f>
        <v>(d5)[0.019]
(d6)[－]</v>
      </c>
      <c r="X172" s="318"/>
      <c r="Y172" s="318"/>
      <c r="Z172" s="318"/>
      <c r="AA172" s="318"/>
      <c r="AB172" s="318"/>
      <c r="AC172" s="318"/>
      <c r="AD172" s="318"/>
      <c r="AE172" s="319"/>
      <c r="AF172" s="317" t="str">
        <f>N172</f>
        <v>(cd1)[0.024]
(cd2)[－]</v>
      </c>
      <c r="AG172" s="318"/>
      <c r="AH172" s="318"/>
      <c r="AI172" s="318"/>
      <c r="AJ172" s="318"/>
      <c r="AK172" s="318"/>
      <c r="AL172" s="318"/>
      <c r="AM172" s="318"/>
      <c r="AN172" s="319"/>
    </row>
    <row r="173" spans="1:44" ht="14.1" customHeight="1" x14ac:dyDescent="0.15">
      <c r="A173" s="339" t="str">
        <f t="shared" si="2"/>
        <v>　　　　及び定期消費調査</v>
      </c>
      <c r="B173" s="340"/>
      <c r="C173" s="340"/>
      <c r="D173" s="340"/>
      <c r="E173" s="340"/>
      <c r="F173" s="340"/>
      <c r="G173" s="340"/>
      <c r="H173" s="340"/>
      <c r="I173" s="340"/>
      <c r="J173" s="340"/>
      <c r="K173" s="340"/>
      <c r="L173" s="340"/>
      <c r="M173" s="341"/>
      <c r="N173" s="320"/>
      <c r="O173" s="321"/>
      <c r="P173" s="321"/>
      <c r="Q173" s="321"/>
      <c r="R173" s="321"/>
      <c r="S173" s="321"/>
      <c r="T173" s="321"/>
      <c r="U173" s="321"/>
      <c r="V173" s="322"/>
      <c r="W173" s="320"/>
      <c r="X173" s="321"/>
      <c r="Y173" s="321"/>
      <c r="Z173" s="321"/>
      <c r="AA173" s="321"/>
      <c r="AB173" s="321"/>
      <c r="AC173" s="321"/>
      <c r="AD173" s="321"/>
      <c r="AE173" s="322"/>
      <c r="AF173" s="320"/>
      <c r="AG173" s="321"/>
      <c r="AH173" s="321"/>
      <c r="AI173" s="321"/>
      <c r="AJ173" s="321"/>
      <c r="AK173" s="321"/>
      <c r="AL173" s="321"/>
      <c r="AM173" s="321"/>
      <c r="AN173" s="322"/>
    </row>
    <row r="174" spans="1:44" ht="56.1" customHeight="1" x14ac:dyDescent="0.15">
      <c r="A174" s="296" t="str">
        <f t="shared" si="2"/>
        <v>定期供給設備点検</v>
      </c>
      <c r="B174" s="296"/>
      <c r="C174" s="296"/>
      <c r="D174" s="296"/>
      <c r="E174" s="296"/>
      <c r="F174" s="296"/>
      <c r="G174" s="296"/>
      <c r="H174" s="296"/>
      <c r="I174" s="296"/>
      <c r="J174" s="296"/>
      <c r="K174" s="296"/>
      <c r="L174" s="296"/>
      <c r="M174" s="296"/>
      <c r="N174" s="324" t="str">
        <f>N164</f>
        <v>(c1)[－]
(c2)[－]
(c3)[－]
(c4)[－]</v>
      </c>
      <c r="O174" s="324"/>
      <c r="P174" s="324"/>
      <c r="Q174" s="324"/>
      <c r="R174" s="324"/>
      <c r="S174" s="324"/>
      <c r="T174" s="324"/>
      <c r="U174" s="324"/>
      <c r="V174" s="324"/>
      <c r="W174" s="325"/>
      <c r="X174" s="325"/>
      <c r="Y174" s="325"/>
      <c r="Z174" s="325"/>
      <c r="AA174" s="325"/>
      <c r="AB174" s="325"/>
      <c r="AC174" s="325"/>
      <c r="AD174" s="325"/>
      <c r="AE174" s="325"/>
      <c r="AF174" s="324" t="str">
        <f>N164</f>
        <v>(c1)[－]
(c2)[－]
(c3)[－]
(c4)[－]</v>
      </c>
      <c r="AG174" s="324"/>
      <c r="AH174" s="324"/>
      <c r="AI174" s="324"/>
      <c r="AJ174" s="324"/>
      <c r="AK174" s="324"/>
      <c r="AL174" s="324"/>
      <c r="AM174" s="324"/>
      <c r="AN174" s="324"/>
    </row>
    <row r="175" spans="1:44" ht="56.1" customHeight="1" x14ac:dyDescent="0.15">
      <c r="A175" s="296" t="str">
        <f t="shared" si="2"/>
        <v>定期消費設備調査</v>
      </c>
      <c r="B175" s="296"/>
      <c r="C175" s="296"/>
      <c r="D175" s="296"/>
      <c r="E175" s="296"/>
      <c r="F175" s="296"/>
      <c r="G175" s="296"/>
      <c r="H175" s="296"/>
      <c r="I175" s="296"/>
      <c r="J175" s="296"/>
      <c r="K175" s="296"/>
      <c r="L175" s="296"/>
      <c r="M175" s="296"/>
      <c r="N175" s="324" t="str">
        <f>N165</f>
        <v>(d1)[－]
(d2)[－]
(d3)[－]
(d4)[－]</v>
      </c>
      <c r="O175" s="324"/>
      <c r="P175" s="324"/>
      <c r="Q175" s="324"/>
      <c r="R175" s="324"/>
      <c r="S175" s="324"/>
      <c r="T175" s="324"/>
      <c r="U175" s="324"/>
      <c r="V175" s="324"/>
      <c r="W175" s="324" t="str">
        <f>N165</f>
        <v>(d1)[－]
(d2)[－]
(d3)[－]
(d4)[－]</v>
      </c>
      <c r="X175" s="324"/>
      <c r="Y175" s="324"/>
      <c r="Z175" s="324"/>
      <c r="AA175" s="324"/>
      <c r="AB175" s="324"/>
      <c r="AC175" s="324"/>
      <c r="AD175" s="324"/>
      <c r="AE175" s="324"/>
      <c r="AF175" s="324" t="str">
        <f>N165</f>
        <v>(d1)[－]
(d2)[－]
(d3)[－]
(d4)[－]</v>
      </c>
      <c r="AG175" s="324"/>
      <c r="AH175" s="324"/>
      <c r="AI175" s="324"/>
      <c r="AJ175" s="324"/>
      <c r="AK175" s="324"/>
      <c r="AL175" s="324"/>
      <c r="AM175" s="324"/>
      <c r="AN175" s="324"/>
    </row>
    <row r="176" spans="1:44" ht="27.95" customHeight="1" x14ac:dyDescent="0.15">
      <c r="A176" s="296" t="str">
        <f t="shared" si="2"/>
        <v>緊急時対応</v>
      </c>
      <c r="B176" s="296"/>
      <c r="C176" s="296"/>
      <c r="D176" s="296"/>
      <c r="E176" s="296"/>
      <c r="F176" s="296"/>
      <c r="G176" s="296"/>
      <c r="H176" s="296"/>
      <c r="I176" s="296"/>
      <c r="J176" s="296"/>
      <c r="K176" s="296"/>
      <c r="L176" s="296"/>
      <c r="M176" s="296"/>
      <c r="N176" s="324" t="str">
        <f>N166</f>
        <v>(f)[0.025]</v>
      </c>
      <c r="O176" s="324"/>
      <c r="P176" s="324"/>
      <c r="Q176" s="324"/>
      <c r="R176" s="324"/>
      <c r="S176" s="324"/>
      <c r="T176" s="324"/>
      <c r="U176" s="324"/>
      <c r="V176" s="324"/>
      <c r="W176" s="324" t="str">
        <f>N166</f>
        <v>(f)[0.025]</v>
      </c>
      <c r="X176" s="324"/>
      <c r="Y176" s="324"/>
      <c r="Z176" s="324"/>
      <c r="AA176" s="324"/>
      <c r="AB176" s="324"/>
      <c r="AC176" s="324"/>
      <c r="AD176" s="324"/>
      <c r="AE176" s="324"/>
      <c r="AF176" s="324" t="str">
        <f>N166</f>
        <v>(f)[0.025]</v>
      </c>
      <c r="AG176" s="324"/>
      <c r="AH176" s="324"/>
      <c r="AI176" s="324"/>
      <c r="AJ176" s="324"/>
      <c r="AK176" s="324"/>
      <c r="AL176" s="324"/>
      <c r="AM176" s="324"/>
      <c r="AN176" s="324"/>
    </row>
    <row r="177" spans="1:41" ht="27.95" customHeight="1" x14ac:dyDescent="0.15">
      <c r="A177" s="289" t="str">
        <f t="shared" si="2"/>
        <v>合　　　計</v>
      </c>
      <c r="B177" s="289"/>
      <c r="C177" s="289"/>
      <c r="D177" s="289"/>
      <c r="E177" s="289"/>
      <c r="F177" s="289"/>
      <c r="G177" s="289"/>
      <c r="H177" s="289"/>
      <c r="I177" s="289"/>
      <c r="J177" s="289"/>
      <c r="K177" s="289"/>
      <c r="L177" s="289"/>
      <c r="M177" s="289"/>
      <c r="N177" s="289">
        <f>AQ162</f>
        <v>0.27600000000000002</v>
      </c>
      <c r="O177" s="289"/>
      <c r="P177" s="289"/>
      <c r="Q177" s="289"/>
      <c r="R177" s="289"/>
      <c r="S177" s="289"/>
      <c r="T177" s="289"/>
      <c r="U177" s="289"/>
      <c r="V177" s="289"/>
      <c r="W177" s="289">
        <f>AQ163</f>
        <v>4.3999999999999997E-2</v>
      </c>
      <c r="X177" s="289"/>
      <c r="Y177" s="289"/>
      <c r="Z177" s="289"/>
      <c r="AA177" s="289"/>
      <c r="AB177" s="289"/>
      <c r="AC177" s="289"/>
      <c r="AD177" s="289"/>
      <c r="AE177" s="289"/>
      <c r="AF177" s="289">
        <f>AQ164</f>
        <v>4.9000000000000002E-2</v>
      </c>
      <c r="AG177" s="289"/>
      <c r="AH177" s="289"/>
      <c r="AI177" s="289"/>
      <c r="AJ177" s="289"/>
      <c r="AK177" s="289"/>
      <c r="AL177" s="289"/>
      <c r="AM177" s="289"/>
      <c r="AN177" s="289"/>
    </row>
    <row r="178" spans="1:41" ht="27.95" customHeight="1" x14ac:dyDescent="0.15">
      <c r="A178" s="289" t="str">
        <f t="shared" si="2"/>
        <v>必　要　数</v>
      </c>
      <c r="B178" s="289"/>
      <c r="C178" s="289"/>
      <c r="D178" s="289"/>
      <c r="E178" s="289"/>
      <c r="F178" s="289"/>
      <c r="G178" s="289"/>
      <c r="H178" s="289"/>
      <c r="I178" s="289"/>
      <c r="J178" s="289"/>
      <c r="K178" s="289"/>
      <c r="L178" s="289"/>
      <c r="M178" s="289"/>
      <c r="N178" s="289">
        <f t="shared" ref="N178" si="3">ROUNDUP(N177,0)</f>
        <v>1</v>
      </c>
      <c r="O178" s="289"/>
      <c r="P178" s="289"/>
      <c r="Q178" s="289"/>
      <c r="R178" s="289"/>
      <c r="S178" s="289"/>
      <c r="T178" s="289"/>
      <c r="U178" s="289"/>
      <c r="V178" s="289"/>
      <c r="W178" s="289">
        <f t="shared" ref="W178" si="4">ROUNDUP(W177,0)</f>
        <v>1</v>
      </c>
      <c r="X178" s="289"/>
      <c r="Y178" s="289"/>
      <c r="Z178" s="289"/>
      <c r="AA178" s="289"/>
      <c r="AB178" s="289"/>
      <c r="AC178" s="289"/>
      <c r="AD178" s="289"/>
      <c r="AE178" s="289"/>
      <c r="AF178" s="289">
        <f t="shared" ref="AF178" si="5">ROUNDUP(AF177,0)</f>
        <v>1</v>
      </c>
      <c r="AG178" s="289"/>
      <c r="AH178" s="289"/>
      <c r="AI178" s="289"/>
      <c r="AJ178" s="289"/>
      <c r="AK178" s="289"/>
      <c r="AL178" s="289"/>
      <c r="AM178" s="289"/>
      <c r="AN178" s="289"/>
    </row>
    <row r="179" spans="1:41" ht="18.600000000000001" customHeight="1" x14ac:dyDescent="0.15">
      <c r="A179" s="2" t="s">
        <v>199</v>
      </c>
    </row>
    <row r="180" spans="1:41" ht="18.600000000000001" customHeight="1" x14ac:dyDescent="0.15"/>
    <row r="181" spans="1:41" ht="18.600000000000001" customHeight="1" x14ac:dyDescent="0.15"/>
    <row r="182" spans="1:41" ht="18.600000000000001"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row>
  </sheetData>
  <sheetProtection sheet="1" objects="1" scenarios="1"/>
  <mergeCells count="152">
    <mergeCell ref="O1:AO1"/>
    <mergeCell ref="A31:AO31"/>
    <mergeCell ref="A35:AO35"/>
    <mergeCell ref="A37:AO37"/>
    <mergeCell ref="A43:AO43"/>
    <mergeCell ref="A3:AO3"/>
    <mergeCell ref="A2:AO2"/>
    <mergeCell ref="A19:AO19"/>
    <mergeCell ref="A8:AO8"/>
    <mergeCell ref="A7:AO7"/>
    <mergeCell ref="A18:AO18"/>
    <mergeCell ref="A9:AO9"/>
    <mergeCell ref="A10:AO10"/>
    <mergeCell ref="A5:AO5"/>
    <mergeCell ref="A6:AO6"/>
    <mergeCell ref="A78:AO78"/>
    <mergeCell ref="A13:AO13"/>
    <mergeCell ref="A16:AO16"/>
    <mergeCell ref="A23:AO23"/>
    <mergeCell ref="A177:M177"/>
    <mergeCell ref="N177:V177"/>
    <mergeCell ref="W177:AE177"/>
    <mergeCell ref="AF177:AN177"/>
    <mergeCell ref="A178:M178"/>
    <mergeCell ref="N178:V178"/>
    <mergeCell ref="W178:AE178"/>
    <mergeCell ref="AF178:AN178"/>
    <mergeCell ref="A175:M175"/>
    <mergeCell ref="N175:V175"/>
    <mergeCell ref="W175:AE175"/>
    <mergeCell ref="AF175:AN175"/>
    <mergeCell ref="A176:M176"/>
    <mergeCell ref="N176:V176"/>
    <mergeCell ref="W176:AE176"/>
    <mergeCell ref="AF176:AN176"/>
    <mergeCell ref="A171:M171"/>
    <mergeCell ref="N171:V171"/>
    <mergeCell ref="W171:AE171"/>
    <mergeCell ref="AF171:AN171"/>
    <mergeCell ref="A174:M174"/>
    <mergeCell ref="N174:V174"/>
    <mergeCell ref="W174:AE174"/>
    <mergeCell ref="AF174:AN174"/>
    <mergeCell ref="A170:M170"/>
    <mergeCell ref="N170:V170"/>
    <mergeCell ref="W170:AE170"/>
    <mergeCell ref="AF170:AN170"/>
    <mergeCell ref="N172:V173"/>
    <mergeCell ref="W172:AE173"/>
    <mergeCell ref="AF172:AN173"/>
    <mergeCell ref="A172:M172"/>
    <mergeCell ref="A173:M173"/>
    <mergeCell ref="A169:M169"/>
    <mergeCell ref="W169:AE169"/>
    <mergeCell ref="AF169:AN169"/>
    <mergeCell ref="N169:V169"/>
    <mergeCell ref="N167:V167"/>
    <mergeCell ref="W167:AE167"/>
    <mergeCell ref="AF167:AN167"/>
    <mergeCell ref="N168:V168"/>
    <mergeCell ref="W168:AE168"/>
    <mergeCell ref="AF168:AN168"/>
    <mergeCell ref="AF158:AN159"/>
    <mergeCell ref="AF160:AN160"/>
    <mergeCell ref="W160:AE160"/>
    <mergeCell ref="N160:V160"/>
    <mergeCell ref="A160:M160"/>
    <mergeCell ref="N159:V159"/>
    <mergeCell ref="N158:V158"/>
    <mergeCell ref="W158:AE159"/>
    <mergeCell ref="A158:M159"/>
    <mergeCell ref="A162:M162"/>
    <mergeCell ref="A161:M161"/>
    <mergeCell ref="N162:V163"/>
    <mergeCell ref="AF162:AN163"/>
    <mergeCell ref="W162:AE163"/>
    <mergeCell ref="A168:M168"/>
    <mergeCell ref="A167:M167"/>
    <mergeCell ref="A166:M166"/>
    <mergeCell ref="A165:M165"/>
    <mergeCell ref="A164:M164"/>
    <mergeCell ref="N165:V165"/>
    <mergeCell ref="W165:AE165"/>
    <mergeCell ref="AF165:AN165"/>
    <mergeCell ref="N166:V166"/>
    <mergeCell ref="W166:AE166"/>
    <mergeCell ref="AF166:AN166"/>
    <mergeCell ref="N161:V161"/>
    <mergeCell ref="W161:AE161"/>
    <mergeCell ref="AF161:AN161"/>
    <mergeCell ref="N164:V164"/>
    <mergeCell ref="W164:AE164"/>
    <mergeCell ref="AF164:AN164"/>
    <mergeCell ref="A163:M163"/>
    <mergeCell ref="A132:AO132"/>
    <mergeCell ref="A156:AO156"/>
    <mergeCell ref="X150:AI151"/>
    <mergeCell ref="B148:F148"/>
    <mergeCell ref="A152:AO152"/>
    <mergeCell ref="A153:AO153"/>
    <mergeCell ref="B149:F149"/>
    <mergeCell ref="B150:F151"/>
    <mergeCell ref="G149:Q149"/>
    <mergeCell ref="R149:W149"/>
    <mergeCell ref="X149:AI149"/>
    <mergeCell ref="G150:Q150"/>
    <mergeCell ref="G151:Q151"/>
    <mergeCell ref="R150:W151"/>
    <mergeCell ref="A142:AO142"/>
    <mergeCell ref="A141:AO141"/>
    <mergeCell ref="A145:AO145"/>
    <mergeCell ref="G148:Q148"/>
    <mergeCell ref="R148:W148"/>
    <mergeCell ref="X148:AI148"/>
    <mergeCell ref="A135:AO135"/>
    <mergeCell ref="A136:AO136"/>
    <mergeCell ref="A137:AO137"/>
    <mergeCell ref="A123:AO123"/>
    <mergeCell ref="A128:AO128"/>
    <mergeCell ref="A129:AO129"/>
    <mergeCell ref="A80:AO80"/>
    <mergeCell ref="A91:AO91"/>
    <mergeCell ref="A92:AO92"/>
    <mergeCell ref="A85:AO85"/>
    <mergeCell ref="A98:AO98"/>
    <mergeCell ref="A105:AO105"/>
    <mergeCell ref="A112:AO112"/>
    <mergeCell ref="A118:AO118"/>
    <mergeCell ref="A69:AO69"/>
    <mergeCell ref="A70:AO70"/>
    <mergeCell ref="A71:AO71"/>
    <mergeCell ref="A73:AO73"/>
    <mergeCell ref="A74:AO74"/>
    <mergeCell ref="A75:AO75"/>
    <mergeCell ref="A17:AO17"/>
    <mergeCell ref="A52:AO52"/>
    <mergeCell ref="A53:AO53"/>
    <mergeCell ref="A62:AO62"/>
    <mergeCell ref="A61:AO61"/>
    <mergeCell ref="A63:AO63"/>
    <mergeCell ref="A66:AO66"/>
    <mergeCell ref="A65:AO65"/>
    <mergeCell ref="A67:AO67"/>
    <mergeCell ref="A56:AO56"/>
    <mergeCell ref="A59:AO59"/>
    <mergeCell ref="A40:AO40"/>
    <mergeCell ref="A47:AO47"/>
    <mergeCell ref="A49:AO49"/>
    <mergeCell ref="A55:AO55"/>
    <mergeCell ref="A58:AO58"/>
    <mergeCell ref="A25:AO25"/>
    <mergeCell ref="A29:AO29"/>
  </mergeCells>
  <phoneticPr fontId="1"/>
  <conditionalFormatting sqref="A12:A13 O82:O83">
    <cfRule type="expression" dxfId="56" priority="942">
      <formula>$AQ$10="認定なし"</formula>
    </cfRule>
  </conditionalFormatting>
  <conditionalFormatting sqref="A15:A19 O87:O89">
    <cfRule type="expression" dxfId="55" priority="945">
      <formula>$AQ$15="認定なし"</formula>
    </cfRule>
  </conditionalFormatting>
  <conditionalFormatting sqref="A21">
    <cfRule type="expression" dxfId="54" priority="1022">
      <formula>OR($AQ$62="特例あり",$AQ$22="認定なし")</formula>
    </cfRule>
  </conditionalFormatting>
  <conditionalFormatting sqref="A22:A23 I100:I101">
    <cfRule type="expression" dxfId="53" priority="1013">
      <formula>OR($AQ$62="特例あり",$AQ$22="認定なし",$AQ$24="補助員あり")</formula>
    </cfRule>
  </conditionalFormatting>
  <conditionalFormatting sqref="A24:A25 AA100:AA101">
    <cfRule type="expression" dxfId="52" priority="1015">
      <formula>OR($AQ$62="特例あり",$AQ$22="認定なし",$AQ$24="補助員なし")</formula>
    </cfRule>
  </conditionalFormatting>
  <conditionalFormatting sqref="A27">
    <cfRule type="expression" dxfId="51" priority="1021">
      <formula>OR($AQ$62="特例あり",$AQ$32="認定なし")</formula>
    </cfRule>
  </conditionalFormatting>
  <conditionalFormatting sqref="A28:A29 I107:I108">
    <cfRule type="expression" dxfId="50" priority="1017">
      <formula>OR($AQ$62="特例あり",$AQ$32="認定なし",$AQ$34="補助員あり")</formula>
    </cfRule>
  </conditionalFormatting>
  <conditionalFormatting sqref="A30:A31 AA107:AA108">
    <cfRule type="expression" dxfId="49" priority="1019">
      <formula>OR($AQ$62="特例あり",$AQ$32="認定なし",$AQ$34="補助員なし")</formula>
    </cfRule>
  </conditionalFormatting>
  <conditionalFormatting sqref="A33">
    <cfRule type="expression" dxfId="48" priority="957">
      <formula>$AQ$42="認定なし"</formula>
    </cfRule>
  </conditionalFormatting>
  <conditionalFormatting sqref="A34:A35 AA114:AA116">
    <cfRule type="expression" dxfId="47" priority="1011">
      <formula>OR($AQ$42="認定なし",$AQ$44="特例あり")</formula>
    </cfRule>
  </conditionalFormatting>
  <conditionalFormatting sqref="A36:A37 I114:I116">
    <cfRule type="expression" dxfId="46" priority="1009">
      <formula>OR($AQ$42="認定なし",$AQ$44="特例なし")</formula>
    </cfRule>
  </conditionalFormatting>
  <conditionalFormatting sqref="A39:A40 O120:O121 A144:A145">
    <cfRule type="expression" dxfId="45" priority="959">
      <formula>$AQ$52="認定なし"</formula>
    </cfRule>
  </conditionalFormatting>
  <conditionalFormatting sqref="A45">
    <cfRule type="expression" dxfId="44" priority="969">
      <formula>$AQ$57="認定なし"</formula>
    </cfRule>
  </conditionalFormatting>
  <conditionalFormatting sqref="A46:A47 I125:I126">
    <cfRule type="expression" dxfId="43" priority="970">
      <formula>OR($AQ$57="認定なし",$AQ$58&gt;20000)</formula>
    </cfRule>
  </conditionalFormatting>
  <conditionalFormatting sqref="A48:A49 AA125:AA126">
    <cfRule type="expression" dxfId="42" priority="972">
      <formula>OR($AQ$57="認定なし",$AQ$58&lt;=20000)</formula>
    </cfRule>
  </conditionalFormatting>
  <conditionalFormatting sqref="A51:A53">
    <cfRule type="expression" dxfId="41" priority="963">
      <formula>$AQ$62="特例なし"</formula>
    </cfRule>
  </conditionalFormatting>
  <conditionalFormatting sqref="A54:A56 I94:I96">
    <cfRule type="expression" dxfId="40" priority="964">
      <formula>OR($AQ$62="特例なし",$AQ$63="特例あり補助員あり")</formula>
    </cfRule>
  </conditionalFormatting>
  <conditionalFormatting sqref="A57:A59 AA94:AA96">
    <cfRule type="expression" dxfId="39" priority="966">
      <formula>OR($AQ$62="特例なし",$AQ$63="特例あり補助員なし")</formula>
    </cfRule>
  </conditionalFormatting>
  <conditionalFormatting sqref="A60:A63 I102:I103">
    <cfRule type="expression" dxfId="38" priority="974">
      <formula>OR($AQ$62="特例なし",$AQ$72="特例適用外なし",$AQ$73="特例あり補助員あり")</formula>
    </cfRule>
  </conditionalFormatting>
  <conditionalFormatting sqref="A64:A67 AA102:AA103">
    <cfRule type="expression" dxfId="37" priority="976">
      <formula>OR($AQ$62="特例なし",$AQ$72="特例適用外なし",$AQ$73="特例あり補助員なし")</formula>
    </cfRule>
  </conditionalFormatting>
  <conditionalFormatting sqref="A68:A71 I109:I110">
    <cfRule type="expression" dxfId="36" priority="978">
      <formula>OR($AQ$62="特例なし",$AQ$72="特例適用外なし",$AQ$78="特例あり補助員あり")</formula>
    </cfRule>
  </conditionalFormatting>
  <conditionalFormatting sqref="A72:A75 AA109:AA110">
    <cfRule type="expression" dxfId="35" priority="980">
      <formula>OR($AQ$62="特例なし",$AQ$72="特例適用外なし",$AQ$78="特例あり補助員なし")</formula>
    </cfRule>
  </conditionalFormatting>
  <conditionalFormatting sqref="A140:A142">
    <cfRule type="expression" dxfId="34" priority="955">
      <formula>AND($AQ$24="補助員なし",$AQ$34="補助員なし")</formula>
    </cfRule>
  </conditionalFormatting>
  <conditionalFormatting sqref="C82">
    <cfRule type="expression" dxfId="33" priority="941">
      <formula>$AQ$10="認定あり"</formula>
    </cfRule>
  </conditionalFormatting>
  <conditionalFormatting sqref="C87">
    <cfRule type="expression" dxfId="32" priority="944">
      <formula>$AQ$15="認定あり"</formula>
    </cfRule>
  </conditionalFormatting>
  <conditionalFormatting sqref="C94">
    <cfRule type="expression" dxfId="31" priority="962">
      <formula>$AQ$62="特例あり"</formula>
    </cfRule>
  </conditionalFormatting>
  <conditionalFormatting sqref="C100">
    <cfRule type="expression" dxfId="30" priority="947">
      <formula>$AQ$22="認定あり"</formula>
    </cfRule>
  </conditionalFormatting>
  <conditionalFormatting sqref="C101 C108">
    <cfRule type="expression" dxfId="29" priority="982">
      <formula>OR($AQ$62="特例なし",$AQ$72="特例適用外あり")</formula>
    </cfRule>
  </conditionalFormatting>
  <conditionalFormatting sqref="C107">
    <cfRule type="expression" dxfId="28" priority="954">
      <formula>$AQ$32="認定あり"</formula>
    </cfRule>
  </conditionalFormatting>
  <conditionalFormatting sqref="C114">
    <cfRule type="expression" dxfId="27" priority="956">
      <formula>$AQ$42="認定あり"</formula>
    </cfRule>
  </conditionalFormatting>
  <conditionalFormatting sqref="C120">
    <cfRule type="expression" dxfId="26" priority="958">
      <formula>$AQ$52="認定あり"</formula>
    </cfRule>
  </conditionalFormatting>
  <conditionalFormatting sqref="C125">
    <cfRule type="expression" dxfId="25" priority="968">
      <formula>$AQ$57="認定あり"</formula>
    </cfRule>
  </conditionalFormatting>
  <conditionalFormatting sqref="G150:X150">
    <cfRule type="expression" dxfId="24" priority="18">
      <formula>AND(ISNUMBER(G149),G150&lt;G149)</formula>
    </cfRule>
  </conditionalFormatting>
  <conditionalFormatting sqref="N168:V168">
    <cfRule type="expression" dxfId="23" priority="6">
      <formula>SUM($AQ$165,$AQ$166)&lt;$AQ$159</formula>
    </cfRule>
  </conditionalFormatting>
  <conditionalFormatting sqref="N178:V178">
    <cfRule type="expression" dxfId="22" priority="1051">
      <formula>$AQ$169&lt;$AQ$162</formula>
    </cfRule>
  </conditionalFormatting>
  <conditionalFormatting sqref="O1">
    <cfRule type="expression" dxfId="21" priority="9">
      <formula>NOT(O1="")</formula>
    </cfRule>
  </conditionalFormatting>
  <conditionalFormatting sqref="W168:AE168">
    <cfRule type="expression" dxfId="20" priority="1049">
      <formula>$AQ$167&lt;$AQ$160</formula>
    </cfRule>
  </conditionalFormatting>
  <conditionalFormatting sqref="W178:AE178">
    <cfRule type="expression" dxfId="19" priority="1052">
      <formula>$AQ$170&lt;$AQ$163</formula>
    </cfRule>
  </conditionalFormatting>
  <conditionalFormatting sqref="AF168:AN168">
    <cfRule type="expression" dxfId="18" priority="1050">
      <formula>$AQ$168&lt;$AQ$161</formula>
    </cfRule>
  </conditionalFormatting>
  <conditionalFormatting sqref="AF178:AN178">
    <cfRule type="expression" dxfId="17" priority="1053">
      <formula>$AQ$171&lt;$AQ$164</formula>
    </cfRule>
  </conditionalFormatting>
  <conditionalFormatting sqref="AQ1:AQ142 AQ145:AQ300">
    <cfRule type="expression" dxfId="16" priority="62">
      <formula>_xlfn.ISFORMULA(AQ1)</formula>
    </cfRule>
    <cfRule type="expression" dxfId="15" priority="11">
      <formula>COUNTIF(AQ1,"*未入力*")</formula>
    </cfRule>
  </conditionalFormatting>
  <pageMargins left="0.78740157480314965" right="0.70866141732283472" top="0.59055118110236227" bottom="0.78740157480314965" header="0.31496062992125984" footer="0.31496062992125984"/>
  <pageSetup paperSize="9" scale="98" fitToHeight="0" orientation="portrait" r:id="rId1"/>
  <rowBreaks count="4" manualBreakCount="4">
    <brk id="41" max="40" man="1"/>
    <brk id="76" max="40" man="1"/>
    <brk id="130" max="40" man="1"/>
    <brk id="154" max="4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AR58"/>
  <sheetViews>
    <sheetView workbookViewId="0">
      <selection activeCell="A18" sqref="A18:L18"/>
    </sheetView>
  </sheetViews>
  <sheetFormatPr defaultColWidth="8.75" defaultRowHeight="12.75" x14ac:dyDescent="0.15"/>
  <cols>
    <col min="1" max="1" width="2.125" style="2" customWidth="1"/>
    <col min="2" max="3" width="2.5" style="2" customWidth="1"/>
    <col min="4" max="40" width="2.125" style="2" customWidth="1"/>
    <col min="41" max="41" width="3.125" style="2" customWidth="1"/>
    <col min="42" max="16384" width="8.75" style="2"/>
  </cols>
  <sheetData>
    <row r="1" spans="1:44" ht="18.600000000000001" customHeight="1" x14ac:dyDescent="0.15">
      <c r="A1" s="2" t="s">
        <v>136</v>
      </c>
      <c r="J1" s="342" t="str">
        <f>IF(COUNTIF(AQ1:AQ100,"*未入力*"),"未入力あり",IF(AQ18&gt;AQ25,"シート「入力」の容器交換時等供給設備点検を行う調査員の数を再確認",""))</f>
        <v/>
      </c>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row>
    <row r="2" spans="1:44" ht="21.95" customHeight="1" x14ac:dyDescent="0.15">
      <c r="AO2" s="3"/>
    </row>
    <row r="3" spans="1:44" ht="18.600000000000001" customHeight="1" x14ac:dyDescent="0.15">
      <c r="A3" s="256" t="s">
        <v>137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4" ht="18.600000000000001" customHeight="1" x14ac:dyDescent="0.15">
      <c r="A4" s="248" t="str">
        <f>TEXT(AQ5,"ggge年(")&amp;TEXT(AQ5,"yyyy年)m月d日")</f>
        <v>令和5年(2023年)10月1日</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
    </row>
    <row r="5" spans="1:44" ht="18.600000000000001" customHeight="1" x14ac:dyDescent="0.15">
      <c r="A5" s="14"/>
      <c r="AQ5" s="2">
        <f>IF(入力!D2="",様式14!$AQ$5&amp;様式14!$AR$5&amp;ROW(入力!D2)&amp;" 未入力",入力!D2)</f>
        <v>45200</v>
      </c>
    </row>
    <row r="6" spans="1:44" ht="18.600000000000001" customHeight="1" x14ac:dyDescent="0.15">
      <c r="A6" s="2" t="s">
        <v>119</v>
      </c>
      <c r="AQ6" s="2" t="str">
        <f>IF(入力!D3="",様式14!$AQ$5&amp;様式14!$AR$5&amp;ROW(入力!D3)&amp;" 未入力",入力!D3)</f>
        <v>法人</v>
      </c>
    </row>
    <row r="7" spans="1:44" ht="18.600000000000001" customHeight="1" x14ac:dyDescent="0.15">
      <c r="AQ7" s="2">
        <f>MAX(LENB(AQ9)/2,LENB(AQ10)/2)</f>
        <v>6</v>
      </c>
    </row>
    <row r="8" spans="1:44" ht="18.600000000000001" customHeight="1" x14ac:dyDescent="0.15">
      <c r="A8" s="164" t="str">
        <f>IF(AQ6="法人",AQ8&amp;"氏名又は名称　　　"&amp;AQ9,IF(AQ6="個人","　　　　　"&amp;AQ8&amp;"氏名　"&amp;AQ9&amp;"　　印"))</f>
        <v>　　　　　　　　　　　　　　　　　　　氏名又は名称　　　○○株式会社</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Q8" s="2" t="str">
        <f>IF(AQ7&lt;13,"　　　","")&amp;IF(AQ7&lt;16,"　　　","")&amp;IF(AQ7&lt;19,"　　　","")&amp;IF(AQ7&lt;22,"　　　","")&amp;IF(AQ7&lt;25,"　　　","")&amp;"　　　　"</f>
        <v>　　　　　　　　　　　　　　　　　　　</v>
      </c>
    </row>
    <row r="9" spans="1:44" ht="18.600000000000001" customHeight="1" x14ac:dyDescent="0.15">
      <c r="A9" s="164" t="str">
        <f>IF(AQ6="個人","",IF(AQ6="法人",AQ8&amp;"その代表者の氏名　"&amp;AQ10&amp;"　　印"))</f>
        <v>　　　　　　　　　　　　　　　　　　　その代表者の氏名　□□　□□　　印</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IF(入力!D5="",様式14!$AQ$5&amp;様式14!$AR$5&amp;ROW(入力!D5)&amp;" 未入力",入力!D5)</f>
        <v>○○株式会社</v>
      </c>
    </row>
    <row r="10" spans="1:44" ht="18.600000000000001" customHeight="1" x14ac:dyDescent="0.15">
      <c r="AQ10" s="2" t="str">
        <f>IF(AQ6="個人","",IF(入力!D6="",様式14!$AQ$5&amp;様式14!$AR$5&amp;ROW(入力!D6)&amp;" 未入力",入力!D6))</f>
        <v>□□　□□</v>
      </c>
    </row>
    <row r="11" spans="1:44" ht="18.600000000000001" customHeight="1" x14ac:dyDescent="0.15">
      <c r="AQ11" s="2" t="str">
        <f>IF(入力!D9="",様式14!$AQ$5&amp;様式14!$AR$5&amp;ROW(入力!D9)&amp;" 未入力",入力!D9)</f>
        <v>同じ</v>
      </c>
    </row>
    <row r="12" spans="1:44" ht="18.600000000000001" customHeight="1" x14ac:dyDescent="0.15">
      <c r="A12" s="164" t="s">
        <v>138</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Q12" s="2" t="str">
        <f>IF(AQ11="同じ","",IF(入力!D10="",様式14!$AQ$5&amp;様式14!$AR$5&amp;ROW(入力!D10)&amp;" 未入力",入力!D10))</f>
        <v/>
      </c>
    </row>
    <row r="13" spans="1:44" ht="18.600000000000001" customHeight="1" x14ac:dyDescent="0.15">
      <c r="A13" s="276" t="s">
        <v>139</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Q13" s="2">
        <f>IF(入力!D35="",様式14!$AQ$5&amp;様式14!$AR$5&amp;ROW(入力!D35)&amp;" 未入力",入力!D35)</f>
        <v>3</v>
      </c>
      <c r="AR13" s="2" t="str">
        <f>IF(AQ13&lt;=COUNTA(M15:M100)-1,"入力の保安業務資格者数","シート「入力」の保安業務資格者数と、名簿に記載した数が違うため確認")</f>
        <v>シート「入力」の保安業務資格者数と、名簿に記載した数が違うため確認</v>
      </c>
    </row>
    <row r="14" spans="1:44" ht="18.600000000000001" customHeight="1" x14ac:dyDescent="0.15">
      <c r="A14" s="164" t="str">
        <f>"事業所の名称："&amp;IF(AQ6="個人",IF(AQ11="同じ",AQ9,AQ12),AQ9&amp;"　"&amp;AQ12)</f>
        <v>事業所の名称：○○株式会社　</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Q14" s="2">
        <f>IF(入力!D31="",様式14!$AQ$5&amp;様式14!$AR$5&amp;ROW(入力!D31)&amp;" 未入力",入力!D31)</f>
        <v>2</v>
      </c>
      <c r="AR14" s="2" t="str">
        <f>IF(AQ14&lt;=SUM(AQ20,AQ21),"入力の液化石油ガス設備士又は第二種販売主任者の数","シート「入力」の液化石油ガス設備士又は第二種販売主任者の数と、名簿に記載した数が違うため確認")</f>
        <v>シート「入力」の液化石油ガス設備士又は第二種販売主任者の数と、名簿に記載した数が違うため確認</v>
      </c>
    </row>
    <row r="15" spans="1:44" ht="18.600000000000001" customHeight="1" x14ac:dyDescent="0.15">
      <c r="A15" s="238" t="s">
        <v>83</v>
      </c>
      <c r="B15" s="239"/>
      <c r="C15" s="239"/>
      <c r="D15" s="239"/>
      <c r="E15" s="239"/>
      <c r="F15" s="239"/>
      <c r="G15" s="239"/>
      <c r="H15" s="239"/>
      <c r="I15" s="239"/>
      <c r="J15" s="239"/>
      <c r="K15" s="239"/>
      <c r="L15" s="240"/>
      <c r="M15" s="238" t="s">
        <v>140</v>
      </c>
      <c r="N15" s="239"/>
      <c r="O15" s="239"/>
      <c r="P15" s="239"/>
      <c r="Q15" s="239"/>
      <c r="R15" s="239"/>
      <c r="S15" s="239"/>
      <c r="T15" s="239"/>
      <c r="U15" s="239"/>
      <c r="V15" s="239"/>
      <c r="W15" s="239"/>
      <c r="X15" s="239"/>
      <c r="Y15" s="239"/>
      <c r="Z15" s="239"/>
      <c r="AA15" s="239"/>
      <c r="AB15" s="239"/>
      <c r="AC15" s="239"/>
      <c r="AD15" s="239"/>
      <c r="AE15" s="240"/>
      <c r="AF15" s="238" t="s">
        <v>141</v>
      </c>
      <c r="AG15" s="239"/>
      <c r="AH15" s="239"/>
      <c r="AI15" s="239"/>
      <c r="AJ15" s="239"/>
      <c r="AK15" s="239"/>
      <c r="AL15" s="239"/>
      <c r="AM15" s="239"/>
      <c r="AN15" s="239"/>
      <c r="AO15" s="240"/>
      <c r="AQ15" s="2">
        <f>IF(入力!D32="",様式14!$AQ$5&amp;様式14!$AR$5&amp;ROW(入力!D32)&amp;" 未入力",入力!D32)</f>
        <v>0</v>
      </c>
      <c r="AR15" s="2" t="str">
        <f>IF(AQ15&lt;=AQ22,"入力の製造保安責任者(乙化・丙化等)の数","シート「入力」の製造保安責任者数と、名簿に記載した数が違うため確認")</f>
        <v>入力の製造保安責任者(乙化・丙化等)の数</v>
      </c>
    </row>
    <row r="16" spans="1:44" ht="21.95" customHeight="1" x14ac:dyDescent="0.15">
      <c r="A16" s="278"/>
      <c r="B16" s="347"/>
      <c r="C16" s="347"/>
      <c r="D16" s="347"/>
      <c r="E16" s="347"/>
      <c r="F16" s="347"/>
      <c r="G16" s="347"/>
      <c r="H16" s="347"/>
      <c r="I16" s="347"/>
      <c r="J16" s="347"/>
      <c r="K16" s="347"/>
      <c r="L16" s="347"/>
      <c r="M16" s="278"/>
      <c r="N16" s="347"/>
      <c r="O16" s="347"/>
      <c r="P16" s="347"/>
      <c r="Q16" s="347"/>
      <c r="R16" s="347"/>
      <c r="S16" s="347"/>
      <c r="T16" s="347"/>
      <c r="U16" s="347"/>
      <c r="V16" s="347"/>
      <c r="W16" s="347"/>
      <c r="X16" s="347"/>
      <c r="Y16" s="347"/>
      <c r="Z16" s="347"/>
      <c r="AA16" s="347"/>
      <c r="AB16" s="347"/>
      <c r="AC16" s="347"/>
      <c r="AD16" s="347"/>
      <c r="AE16" s="347"/>
      <c r="AF16" s="348"/>
      <c r="AG16" s="349"/>
      <c r="AH16" s="349"/>
      <c r="AI16" s="349"/>
      <c r="AJ16" s="349"/>
      <c r="AK16" s="349"/>
      <c r="AL16" s="349"/>
      <c r="AM16" s="349"/>
      <c r="AN16" s="349"/>
      <c r="AO16" s="349"/>
      <c r="AQ16" s="2">
        <f>IF(入力!D33="",様式14!$AQ$5&amp;様式14!$AR$5&amp;ROW(入力!D33)&amp;" 未入力",入力!D33)</f>
        <v>0</v>
      </c>
      <c r="AR16" s="2" t="str">
        <f>IF(AQ16&lt;=AQ23,"入力の業務主任者の代理者講習修了者の数","シート「入力」の業務主任者の代理者講習修了者と、名簿に記載した数が違うため確認")</f>
        <v>入力の業務主任者の代理者講習修了者の数</v>
      </c>
    </row>
    <row r="17" spans="1:44" ht="21.95" customHeight="1" x14ac:dyDescent="0.15">
      <c r="A17" s="278"/>
      <c r="B17" s="347"/>
      <c r="C17" s="347"/>
      <c r="D17" s="347"/>
      <c r="E17" s="347"/>
      <c r="F17" s="347"/>
      <c r="G17" s="347"/>
      <c r="H17" s="347"/>
      <c r="I17" s="347"/>
      <c r="J17" s="347"/>
      <c r="K17" s="347"/>
      <c r="L17" s="347"/>
      <c r="M17" s="278"/>
      <c r="N17" s="347"/>
      <c r="O17" s="347"/>
      <c r="P17" s="347"/>
      <c r="Q17" s="347"/>
      <c r="R17" s="347"/>
      <c r="S17" s="347"/>
      <c r="T17" s="347"/>
      <c r="U17" s="347"/>
      <c r="V17" s="347"/>
      <c r="W17" s="347"/>
      <c r="X17" s="347"/>
      <c r="Y17" s="347"/>
      <c r="Z17" s="347"/>
      <c r="AA17" s="347"/>
      <c r="AB17" s="347"/>
      <c r="AC17" s="347"/>
      <c r="AD17" s="347"/>
      <c r="AE17" s="347"/>
      <c r="AF17" s="348"/>
      <c r="AG17" s="349"/>
      <c r="AH17" s="349"/>
      <c r="AI17" s="349"/>
      <c r="AJ17" s="349"/>
      <c r="AK17" s="349"/>
      <c r="AL17" s="349"/>
      <c r="AM17" s="349"/>
      <c r="AN17" s="349"/>
      <c r="AO17" s="349"/>
      <c r="AQ17" s="2">
        <f>IF(入力!D34="",様式14!$AQ$5&amp;様式14!$AR$5&amp;ROW(入力!D34)&amp;" 未入力",入力!D34)</f>
        <v>1</v>
      </c>
      <c r="AR17" s="2" t="str">
        <f>IF(AQ17&lt;=AQ24,"入力の保安業務員講習修了者の数","シート「入力」の保安業務員講習修了者の数と、名簿に記載した数が違うため確認")</f>
        <v>シート「入力」の保安業務員講習修了者の数と、名簿に記載した数が違うため確認</v>
      </c>
    </row>
    <row r="18" spans="1:44" ht="21.95" customHeight="1" x14ac:dyDescent="0.15">
      <c r="A18" s="278"/>
      <c r="B18" s="347"/>
      <c r="C18" s="347"/>
      <c r="D18" s="347"/>
      <c r="E18" s="347"/>
      <c r="F18" s="347"/>
      <c r="G18" s="347"/>
      <c r="H18" s="347"/>
      <c r="I18" s="347"/>
      <c r="J18" s="347"/>
      <c r="K18" s="347"/>
      <c r="L18" s="347"/>
      <c r="M18" s="278"/>
      <c r="N18" s="347"/>
      <c r="O18" s="347"/>
      <c r="P18" s="347"/>
      <c r="Q18" s="347"/>
      <c r="R18" s="347"/>
      <c r="S18" s="347"/>
      <c r="T18" s="347"/>
      <c r="U18" s="347"/>
      <c r="V18" s="347"/>
      <c r="W18" s="347"/>
      <c r="X18" s="347"/>
      <c r="Y18" s="347"/>
      <c r="Z18" s="347"/>
      <c r="AA18" s="347"/>
      <c r="AB18" s="347"/>
      <c r="AC18" s="347"/>
      <c r="AD18" s="347"/>
      <c r="AE18" s="347"/>
      <c r="AF18" s="348"/>
      <c r="AG18" s="349"/>
      <c r="AH18" s="349"/>
      <c r="AI18" s="349"/>
      <c r="AJ18" s="349"/>
      <c r="AK18" s="349"/>
      <c r="AL18" s="349"/>
      <c r="AM18" s="349"/>
      <c r="AN18" s="349"/>
      <c r="AO18" s="349"/>
      <c r="AQ18" s="2">
        <f>IF(COUNTIF(AQ19,"*受けない*"),0,IF(入力!D36="",様式14!$AQ$5&amp;様式14!$AR$5&amp;ROW(入力!D36)&amp;" 未入力",入力!D36))</f>
        <v>0</v>
      </c>
      <c r="AR18" s="2" t="str">
        <f>IF(AQ18&lt;=AQ25,"入力の調査員講習修了者の数","シート「入力」の調査員講習修了者の数と、名簿に記載した数が違うため確認")</f>
        <v>入力の調査員講習修了者の数</v>
      </c>
    </row>
    <row r="19" spans="1:44" ht="21.95" customHeight="1" x14ac:dyDescent="0.15">
      <c r="A19" s="278"/>
      <c r="B19" s="347"/>
      <c r="C19" s="347"/>
      <c r="D19" s="347"/>
      <c r="E19" s="347"/>
      <c r="F19" s="347"/>
      <c r="G19" s="347"/>
      <c r="H19" s="347"/>
      <c r="I19" s="347"/>
      <c r="J19" s="347"/>
      <c r="K19" s="347"/>
      <c r="L19" s="347"/>
      <c r="M19" s="278"/>
      <c r="N19" s="347"/>
      <c r="O19" s="347"/>
      <c r="P19" s="347"/>
      <c r="Q19" s="347"/>
      <c r="R19" s="347"/>
      <c r="S19" s="347"/>
      <c r="T19" s="347"/>
      <c r="U19" s="347"/>
      <c r="V19" s="347"/>
      <c r="W19" s="347"/>
      <c r="X19" s="347"/>
      <c r="Y19" s="347"/>
      <c r="Z19" s="347"/>
      <c r="AA19" s="347"/>
      <c r="AB19" s="347"/>
      <c r="AC19" s="347"/>
      <c r="AD19" s="347"/>
      <c r="AE19" s="347"/>
      <c r="AF19" s="348"/>
      <c r="AG19" s="349"/>
      <c r="AH19" s="349"/>
      <c r="AI19" s="349"/>
      <c r="AJ19" s="349"/>
      <c r="AK19" s="349"/>
      <c r="AL19" s="349"/>
      <c r="AM19" s="349"/>
      <c r="AN19" s="349"/>
      <c r="AO19" s="349"/>
      <c r="AQ19" s="2" t="str">
        <f>IF(入力!D15="",様式14!$AQ$5&amp;様式14!$AR$5&amp;ROW(入力!D15)&amp;" 未入力",入力!D15)</f>
        <v>容器交換時等供給設備点検の認定を受ける</v>
      </c>
    </row>
    <row r="20" spans="1:44" ht="21.95" customHeight="1" x14ac:dyDescent="0.15">
      <c r="A20" s="278"/>
      <c r="B20" s="347"/>
      <c r="C20" s="347"/>
      <c r="D20" s="347"/>
      <c r="E20" s="347"/>
      <c r="F20" s="347"/>
      <c r="G20" s="347"/>
      <c r="H20" s="347"/>
      <c r="I20" s="347"/>
      <c r="J20" s="347"/>
      <c r="K20" s="347"/>
      <c r="L20" s="347"/>
      <c r="M20" s="278"/>
      <c r="N20" s="347"/>
      <c r="O20" s="347"/>
      <c r="P20" s="347"/>
      <c r="Q20" s="347"/>
      <c r="R20" s="347"/>
      <c r="S20" s="347"/>
      <c r="T20" s="347"/>
      <c r="U20" s="347"/>
      <c r="V20" s="347"/>
      <c r="W20" s="347"/>
      <c r="X20" s="347"/>
      <c r="Y20" s="347"/>
      <c r="Z20" s="347"/>
      <c r="AA20" s="347"/>
      <c r="AB20" s="347"/>
      <c r="AC20" s="347"/>
      <c r="AD20" s="347"/>
      <c r="AE20" s="347"/>
      <c r="AF20" s="348"/>
      <c r="AG20" s="349"/>
      <c r="AH20" s="349"/>
      <c r="AI20" s="349"/>
      <c r="AJ20" s="349"/>
      <c r="AK20" s="349"/>
      <c r="AL20" s="349"/>
      <c r="AM20" s="349"/>
      <c r="AN20" s="349"/>
      <c r="AO20" s="349"/>
      <c r="AQ20" s="2">
        <f>COUNTIF(M$1:M$100,"*設備士*")</f>
        <v>0</v>
      </c>
      <c r="AR20" s="2" t="s">
        <v>532</v>
      </c>
    </row>
    <row r="21" spans="1:44" ht="21.95" customHeight="1" x14ac:dyDescent="0.15">
      <c r="A21" s="278"/>
      <c r="B21" s="347"/>
      <c r="C21" s="347"/>
      <c r="D21" s="347"/>
      <c r="E21" s="347"/>
      <c r="F21" s="347"/>
      <c r="G21" s="347"/>
      <c r="H21" s="347"/>
      <c r="I21" s="347"/>
      <c r="J21" s="347"/>
      <c r="K21" s="347"/>
      <c r="L21" s="347"/>
      <c r="M21" s="278"/>
      <c r="N21" s="347"/>
      <c r="O21" s="347"/>
      <c r="P21" s="347"/>
      <c r="Q21" s="347"/>
      <c r="R21" s="347"/>
      <c r="S21" s="347"/>
      <c r="T21" s="347"/>
      <c r="U21" s="347"/>
      <c r="V21" s="347"/>
      <c r="W21" s="347"/>
      <c r="X21" s="347"/>
      <c r="Y21" s="347"/>
      <c r="Z21" s="347"/>
      <c r="AA21" s="347"/>
      <c r="AB21" s="347"/>
      <c r="AC21" s="347"/>
      <c r="AD21" s="347"/>
      <c r="AE21" s="347"/>
      <c r="AF21" s="348"/>
      <c r="AG21" s="349"/>
      <c r="AH21" s="349"/>
      <c r="AI21" s="349"/>
      <c r="AJ21" s="349"/>
      <c r="AK21" s="349"/>
      <c r="AL21" s="349"/>
      <c r="AM21" s="349"/>
      <c r="AN21" s="349"/>
      <c r="AO21" s="349"/>
      <c r="AQ21" s="2">
        <f>COUNTIF(M$1:M$100,"*販売主任者*")</f>
        <v>0</v>
      </c>
      <c r="AR21" s="2" t="s">
        <v>533</v>
      </c>
    </row>
    <row r="22" spans="1:44" ht="21.95" customHeight="1" x14ac:dyDescent="0.15">
      <c r="A22" s="278"/>
      <c r="B22" s="347"/>
      <c r="C22" s="347"/>
      <c r="D22" s="347"/>
      <c r="E22" s="347"/>
      <c r="F22" s="347"/>
      <c r="G22" s="347"/>
      <c r="H22" s="347"/>
      <c r="I22" s="347"/>
      <c r="J22" s="347"/>
      <c r="K22" s="347"/>
      <c r="L22" s="347"/>
      <c r="M22" s="278"/>
      <c r="N22" s="347"/>
      <c r="O22" s="347"/>
      <c r="P22" s="347"/>
      <c r="Q22" s="347"/>
      <c r="R22" s="347"/>
      <c r="S22" s="347"/>
      <c r="T22" s="347"/>
      <c r="U22" s="347"/>
      <c r="V22" s="347"/>
      <c r="W22" s="347"/>
      <c r="X22" s="347"/>
      <c r="Y22" s="347"/>
      <c r="Z22" s="347"/>
      <c r="AA22" s="347"/>
      <c r="AB22" s="347"/>
      <c r="AC22" s="347"/>
      <c r="AD22" s="347"/>
      <c r="AE22" s="347"/>
      <c r="AF22" s="348"/>
      <c r="AG22" s="349"/>
      <c r="AH22" s="349"/>
      <c r="AI22" s="349"/>
      <c r="AJ22" s="349"/>
      <c r="AK22" s="349"/>
      <c r="AL22" s="349"/>
      <c r="AM22" s="349"/>
      <c r="AN22" s="349"/>
      <c r="AO22" s="349"/>
      <c r="AQ22" s="2">
        <f t="shared" ref="AQ22" si="0">COUNTIF(M$1:M$100,"*製造保安責任者*")</f>
        <v>0</v>
      </c>
      <c r="AR22" s="2" t="s">
        <v>529</v>
      </c>
    </row>
    <row r="23" spans="1:44" ht="21.95" customHeight="1" x14ac:dyDescent="0.15">
      <c r="A23" s="278"/>
      <c r="B23" s="347"/>
      <c r="C23" s="347"/>
      <c r="D23" s="347"/>
      <c r="E23" s="347"/>
      <c r="F23" s="347"/>
      <c r="G23" s="347"/>
      <c r="H23" s="347"/>
      <c r="I23" s="347"/>
      <c r="J23" s="347"/>
      <c r="K23" s="347"/>
      <c r="L23" s="347"/>
      <c r="M23" s="278"/>
      <c r="N23" s="347"/>
      <c r="O23" s="347"/>
      <c r="P23" s="347"/>
      <c r="Q23" s="347"/>
      <c r="R23" s="347"/>
      <c r="S23" s="347"/>
      <c r="T23" s="347"/>
      <c r="U23" s="347"/>
      <c r="V23" s="347"/>
      <c r="W23" s="347"/>
      <c r="X23" s="347"/>
      <c r="Y23" s="347"/>
      <c r="Z23" s="347"/>
      <c r="AA23" s="347"/>
      <c r="AB23" s="347"/>
      <c r="AC23" s="347"/>
      <c r="AD23" s="347"/>
      <c r="AE23" s="347"/>
      <c r="AF23" s="348"/>
      <c r="AG23" s="349"/>
      <c r="AH23" s="349"/>
      <c r="AI23" s="349"/>
      <c r="AJ23" s="349"/>
      <c r="AK23" s="349"/>
      <c r="AL23" s="349"/>
      <c r="AM23" s="349"/>
      <c r="AN23" s="349"/>
      <c r="AO23" s="349"/>
      <c r="AQ23" s="2">
        <f>COUNTIF(M$1:M$100,"*代理者*")</f>
        <v>0</v>
      </c>
      <c r="AR23" s="2" t="s">
        <v>530</v>
      </c>
    </row>
    <row r="24" spans="1:44" ht="21.95" customHeight="1" x14ac:dyDescent="0.15">
      <c r="A24" s="278"/>
      <c r="B24" s="347"/>
      <c r="C24" s="347"/>
      <c r="D24" s="347"/>
      <c r="E24" s="347"/>
      <c r="F24" s="347"/>
      <c r="G24" s="347"/>
      <c r="H24" s="347"/>
      <c r="I24" s="347"/>
      <c r="J24" s="347"/>
      <c r="K24" s="347"/>
      <c r="L24" s="347"/>
      <c r="M24" s="278"/>
      <c r="N24" s="347"/>
      <c r="O24" s="347"/>
      <c r="P24" s="347"/>
      <c r="Q24" s="347"/>
      <c r="R24" s="347"/>
      <c r="S24" s="347"/>
      <c r="T24" s="347"/>
      <c r="U24" s="347"/>
      <c r="V24" s="347"/>
      <c r="W24" s="347"/>
      <c r="X24" s="347"/>
      <c r="Y24" s="347"/>
      <c r="Z24" s="347"/>
      <c r="AA24" s="347"/>
      <c r="AB24" s="347"/>
      <c r="AC24" s="347"/>
      <c r="AD24" s="347"/>
      <c r="AE24" s="347"/>
      <c r="AF24" s="348"/>
      <c r="AG24" s="349"/>
      <c r="AH24" s="349"/>
      <c r="AI24" s="349"/>
      <c r="AJ24" s="349"/>
      <c r="AK24" s="349"/>
      <c r="AL24" s="349"/>
      <c r="AM24" s="349"/>
      <c r="AN24" s="349"/>
      <c r="AO24" s="349"/>
      <c r="AQ24" s="2">
        <f>COUNTIF(M$1:M$100,"*保安業務員*")</f>
        <v>0</v>
      </c>
      <c r="AR24" s="2" t="s">
        <v>531</v>
      </c>
    </row>
    <row r="25" spans="1:44" ht="21.95" customHeight="1" x14ac:dyDescent="0.15">
      <c r="A25" s="278"/>
      <c r="B25" s="347"/>
      <c r="C25" s="347"/>
      <c r="D25" s="347"/>
      <c r="E25" s="347"/>
      <c r="F25" s="347"/>
      <c r="G25" s="347"/>
      <c r="H25" s="347"/>
      <c r="I25" s="347"/>
      <c r="J25" s="347"/>
      <c r="K25" s="347"/>
      <c r="L25" s="347"/>
      <c r="M25" s="278"/>
      <c r="N25" s="347"/>
      <c r="O25" s="347"/>
      <c r="P25" s="347"/>
      <c r="Q25" s="347"/>
      <c r="R25" s="347"/>
      <c r="S25" s="347"/>
      <c r="T25" s="347"/>
      <c r="U25" s="347"/>
      <c r="V25" s="347"/>
      <c r="W25" s="347"/>
      <c r="X25" s="347"/>
      <c r="Y25" s="347"/>
      <c r="Z25" s="347"/>
      <c r="AA25" s="347"/>
      <c r="AB25" s="347"/>
      <c r="AC25" s="347"/>
      <c r="AD25" s="347"/>
      <c r="AE25" s="347"/>
      <c r="AF25" s="348"/>
      <c r="AG25" s="349"/>
      <c r="AH25" s="349"/>
      <c r="AI25" s="349"/>
      <c r="AJ25" s="349"/>
      <c r="AK25" s="349"/>
      <c r="AL25" s="349"/>
      <c r="AM25" s="349"/>
      <c r="AN25" s="349"/>
      <c r="AO25" s="349"/>
      <c r="AQ25" s="2">
        <f>COUNTIF(M$1:M$100,"*調査員*")</f>
        <v>0</v>
      </c>
      <c r="AR25" s="2" t="s">
        <v>534</v>
      </c>
    </row>
    <row r="26" spans="1:44" ht="21.95" customHeight="1" x14ac:dyDescent="0.15">
      <c r="A26" s="278"/>
      <c r="B26" s="347"/>
      <c r="C26" s="347"/>
      <c r="D26" s="347"/>
      <c r="E26" s="347"/>
      <c r="F26" s="347"/>
      <c r="G26" s="347"/>
      <c r="H26" s="347"/>
      <c r="I26" s="347"/>
      <c r="J26" s="347"/>
      <c r="K26" s="347"/>
      <c r="L26" s="347"/>
      <c r="M26" s="278"/>
      <c r="N26" s="347"/>
      <c r="O26" s="347"/>
      <c r="P26" s="347"/>
      <c r="Q26" s="347"/>
      <c r="R26" s="347"/>
      <c r="S26" s="347"/>
      <c r="T26" s="347"/>
      <c r="U26" s="347"/>
      <c r="V26" s="347"/>
      <c r="W26" s="347"/>
      <c r="X26" s="347"/>
      <c r="Y26" s="347"/>
      <c r="Z26" s="347"/>
      <c r="AA26" s="347"/>
      <c r="AB26" s="347"/>
      <c r="AC26" s="347"/>
      <c r="AD26" s="347"/>
      <c r="AE26" s="347"/>
      <c r="AF26" s="348"/>
      <c r="AG26" s="349"/>
      <c r="AH26" s="349"/>
      <c r="AI26" s="349"/>
      <c r="AJ26" s="349"/>
      <c r="AK26" s="349"/>
      <c r="AL26" s="349"/>
      <c r="AM26" s="349"/>
      <c r="AN26" s="349"/>
      <c r="AO26" s="349"/>
    </row>
    <row r="27" spans="1:44" ht="21.95" customHeight="1" x14ac:dyDescent="0.15">
      <c r="A27" s="278"/>
      <c r="B27" s="347"/>
      <c r="C27" s="347"/>
      <c r="D27" s="347"/>
      <c r="E27" s="347"/>
      <c r="F27" s="347"/>
      <c r="G27" s="347"/>
      <c r="H27" s="347"/>
      <c r="I27" s="347"/>
      <c r="J27" s="347"/>
      <c r="K27" s="347"/>
      <c r="L27" s="347"/>
      <c r="M27" s="278"/>
      <c r="N27" s="347"/>
      <c r="O27" s="347"/>
      <c r="P27" s="347"/>
      <c r="Q27" s="347"/>
      <c r="R27" s="347"/>
      <c r="S27" s="347"/>
      <c r="T27" s="347"/>
      <c r="U27" s="347"/>
      <c r="V27" s="347"/>
      <c r="W27" s="347"/>
      <c r="X27" s="347"/>
      <c r="Y27" s="347"/>
      <c r="Z27" s="347"/>
      <c r="AA27" s="347"/>
      <c r="AB27" s="347"/>
      <c r="AC27" s="347"/>
      <c r="AD27" s="347"/>
      <c r="AE27" s="347"/>
      <c r="AF27" s="348"/>
      <c r="AG27" s="349"/>
      <c r="AH27" s="349"/>
      <c r="AI27" s="349"/>
      <c r="AJ27" s="349"/>
      <c r="AK27" s="349"/>
      <c r="AL27" s="349"/>
      <c r="AM27" s="349"/>
      <c r="AN27" s="349"/>
      <c r="AO27" s="349"/>
    </row>
    <row r="28" spans="1:44" ht="21.95" customHeight="1" x14ac:dyDescent="0.15">
      <c r="A28" s="278"/>
      <c r="B28" s="347"/>
      <c r="C28" s="347"/>
      <c r="D28" s="347"/>
      <c r="E28" s="347"/>
      <c r="F28" s="347"/>
      <c r="G28" s="347"/>
      <c r="H28" s="347"/>
      <c r="I28" s="347"/>
      <c r="J28" s="347"/>
      <c r="K28" s="347"/>
      <c r="L28" s="347"/>
      <c r="M28" s="278"/>
      <c r="N28" s="347"/>
      <c r="O28" s="347"/>
      <c r="P28" s="347"/>
      <c r="Q28" s="347"/>
      <c r="R28" s="347"/>
      <c r="S28" s="347"/>
      <c r="T28" s="347"/>
      <c r="U28" s="347"/>
      <c r="V28" s="347"/>
      <c r="W28" s="347"/>
      <c r="X28" s="347"/>
      <c r="Y28" s="347"/>
      <c r="Z28" s="347"/>
      <c r="AA28" s="347"/>
      <c r="AB28" s="347"/>
      <c r="AC28" s="347"/>
      <c r="AD28" s="347"/>
      <c r="AE28" s="347"/>
      <c r="AF28" s="348"/>
      <c r="AG28" s="349"/>
      <c r="AH28" s="349"/>
      <c r="AI28" s="349"/>
      <c r="AJ28" s="349"/>
      <c r="AK28" s="349"/>
      <c r="AL28" s="349"/>
      <c r="AM28" s="349"/>
      <c r="AN28" s="349"/>
      <c r="AO28" s="349"/>
    </row>
    <row r="29" spans="1:44" ht="21.95" customHeight="1" x14ac:dyDescent="0.15">
      <c r="A29" s="278"/>
      <c r="B29" s="347"/>
      <c r="C29" s="347"/>
      <c r="D29" s="347"/>
      <c r="E29" s="347"/>
      <c r="F29" s="347"/>
      <c r="G29" s="347"/>
      <c r="H29" s="347"/>
      <c r="I29" s="347"/>
      <c r="J29" s="347"/>
      <c r="K29" s="347"/>
      <c r="L29" s="347"/>
      <c r="M29" s="278"/>
      <c r="N29" s="347"/>
      <c r="O29" s="347"/>
      <c r="P29" s="347"/>
      <c r="Q29" s="347"/>
      <c r="R29" s="347"/>
      <c r="S29" s="347"/>
      <c r="T29" s="347"/>
      <c r="U29" s="347"/>
      <c r="V29" s="347"/>
      <c r="W29" s="347"/>
      <c r="X29" s="347"/>
      <c r="Y29" s="347"/>
      <c r="Z29" s="347"/>
      <c r="AA29" s="347"/>
      <c r="AB29" s="347"/>
      <c r="AC29" s="347"/>
      <c r="AD29" s="347"/>
      <c r="AE29" s="347"/>
      <c r="AF29" s="348"/>
      <c r="AG29" s="349"/>
      <c r="AH29" s="349"/>
      <c r="AI29" s="349"/>
      <c r="AJ29" s="349"/>
      <c r="AK29" s="349"/>
      <c r="AL29" s="349"/>
      <c r="AM29" s="349"/>
      <c r="AN29" s="349"/>
      <c r="AO29" s="349"/>
    </row>
    <row r="30" spans="1:44" ht="21.95" customHeight="1" x14ac:dyDescent="0.15">
      <c r="A30" s="278"/>
      <c r="B30" s="347"/>
      <c r="C30" s="347"/>
      <c r="D30" s="347"/>
      <c r="E30" s="347"/>
      <c r="F30" s="347"/>
      <c r="G30" s="347"/>
      <c r="H30" s="347"/>
      <c r="I30" s="347"/>
      <c r="J30" s="347"/>
      <c r="K30" s="347"/>
      <c r="L30" s="347"/>
      <c r="M30" s="278"/>
      <c r="N30" s="347"/>
      <c r="O30" s="347"/>
      <c r="P30" s="347"/>
      <c r="Q30" s="347"/>
      <c r="R30" s="347"/>
      <c r="S30" s="347"/>
      <c r="T30" s="347"/>
      <c r="U30" s="347"/>
      <c r="V30" s="347"/>
      <c r="W30" s="347"/>
      <c r="X30" s="347"/>
      <c r="Y30" s="347"/>
      <c r="Z30" s="347"/>
      <c r="AA30" s="347"/>
      <c r="AB30" s="347"/>
      <c r="AC30" s="347"/>
      <c r="AD30" s="347"/>
      <c r="AE30" s="347"/>
      <c r="AF30" s="348"/>
      <c r="AG30" s="349"/>
      <c r="AH30" s="349"/>
      <c r="AI30" s="349"/>
      <c r="AJ30" s="349"/>
      <c r="AK30" s="349"/>
      <c r="AL30" s="349"/>
      <c r="AM30" s="349"/>
      <c r="AN30" s="349"/>
      <c r="AO30" s="349"/>
    </row>
    <row r="31" spans="1:44" ht="21.95" customHeight="1" x14ac:dyDescent="0.15">
      <c r="A31" s="278"/>
      <c r="B31" s="347"/>
      <c r="C31" s="347"/>
      <c r="D31" s="347"/>
      <c r="E31" s="347"/>
      <c r="F31" s="347"/>
      <c r="G31" s="347"/>
      <c r="H31" s="347"/>
      <c r="I31" s="347"/>
      <c r="J31" s="347"/>
      <c r="K31" s="347"/>
      <c r="L31" s="347"/>
      <c r="M31" s="278"/>
      <c r="N31" s="347"/>
      <c r="O31" s="347"/>
      <c r="P31" s="347"/>
      <c r="Q31" s="347"/>
      <c r="R31" s="347"/>
      <c r="S31" s="347"/>
      <c r="T31" s="347"/>
      <c r="U31" s="347"/>
      <c r="V31" s="347"/>
      <c r="W31" s="347"/>
      <c r="X31" s="347"/>
      <c r="Y31" s="347"/>
      <c r="Z31" s="347"/>
      <c r="AA31" s="347"/>
      <c r="AB31" s="347"/>
      <c r="AC31" s="347"/>
      <c r="AD31" s="347"/>
      <c r="AE31" s="347"/>
      <c r="AF31" s="348"/>
      <c r="AG31" s="349"/>
      <c r="AH31" s="349"/>
      <c r="AI31" s="349"/>
      <c r="AJ31" s="349"/>
      <c r="AK31" s="349"/>
      <c r="AL31" s="349"/>
      <c r="AM31" s="349"/>
      <c r="AN31" s="349"/>
      <c r="AO31" s="349"/>
    </row>
    <row r="32" spans="1:44" ht="15" customHeight="1" x14ac:dyDescent="0.15">
      <c r="A32" s="273" t="s">
        <v>142</v>
      </c>
      <c r="B32" s="345"/>
      <c r="C32" s="345"/>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row>
    <row r="33" spans="1:41" ht="15" customHeight="1" x14ac:dyDescent="0.15">
      <c r="A33" s="164" t="s">
        <v>144</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row>
    <row r="34" spans="1:41" ht="15" customHeight="1" x14ac:dyDescent="0.15">
      <c r="A34" s="164" t="s">
        <v>271</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row>
    <row r="35" spans="1:41" ht="15" customHeight="1" x14ac:dyDescent="0.15">
      <c r="A35" s="164" t="s">
        <v>145</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row>
    <row r="36" spans="1:41" ht="15" customHeight="1" x14ac:dyDescent="0.15">
      <c r="A36" s="164" t="s">
        <v>143</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row>
    <row r="37" spans="1:41" ht="18.600000000000001" customHeight="1" x14ac:dyDescent="0.15"/>
    <row r="38" spans="1:41" ht="18.600000000000001" customHeight="1" x14ac:dyDescent="0.15"/>
    <row r="39" spans="1:41" ht="18.600000000000001" customHeight="1" x14ac:dyDescent="0.15"/>
    <row r="40" spans="1:41" ht="18.600000000000001" customHeight="1" x14ac:dyDescent="0.15"/>
    <row r="41" spans="1:41" ht="18.600000000000001" customHeight="1" x14ac:dyDescent="0.15"/>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sheetData>
  <sheetProtection sheet="1" objects="1" scenarios="1" formatRows="0" insertRows="0"/>
  <mergeCells count="64">
    <mergeCell ref="J1:AO1"/>
    <mergeCell ref="A14:AO14"/>
    <mergeCell ref="A15:L15"/>
    <mergeCell ref="AF15:AO15"/>
    <mergeCell ref="A3:AO3"/>
    <mergeCell ref="A12:AO12"/>
    <mergeCell ref="A13:AO13"/>
    <mergeCell ref="M15:AE15"/>
    <mergeCell ref="A4:AN4"/>
    <mergeCell ref="A8:AO8"/>
    <mergeCell ref="A9:AO9"/>
    <mergeCell ref="A16:L16"/>
    <mergeCell ref="M16:AE16"/>
    <mergeCell ref="AF16:AO16"/>
    <mergeCell ref="A17:L17"/>
    <mergeCell ref="M17:AE17"/>
    <mergeCell ref="AF17:AO17"/>
    <mergeCell ref="A18:L18"/>
    <mergeCell ref="M18:AE18"/>
    <mergeCell ref="AF18:AO18"/>
    <mergeCell ref="A19:L19"/>
    <mergeCell ref="M19:AE19"/>
    <mergeCell ref="AF19:AO19"/>
    <mergeCell ref="A20:L20"/>
    <mergeCell ref="M20:AE20"/>
    <mergeCell ref="AF20:AO20"/>
    <mergeCell ref="A21:L21"/>
    <mergeCell ref="M21:AE21"/>
    <mergeCell ref="AF21:AO21"/>
    <mergeCell ref="A22:L22"/>
    <mergeCell ref="M22:AE22"/>
    <mergeCell ref="AF22:AO22"/>
    <mergeCell ref="A23:L23"/>
    <mergeCell ref="M23:AE23"/>
    <mergeCell ref="AF23:AO23"/>
    <mergeCell ref="A24:L24"/>
    <mergeCell ref="M24:AE24"/>
    <mergeCell ref="AF24:AO24"/>
    <mergeCell ref="A25:L25"/>
    <mergeCell ref="M25:AE25"/>
    <mergeCell ref="AF25:AO25"/>
    <mergeCell ref="A26:L26"/>
    <mergeCell ref="M26:AE26"/>
    <mergeCell ref="AF26:AO26"/>
    <mergeCell ref="A27:L27"/>
    <mergeCell ref="M27:AE27"/>
    <mergeCell ref="AF27:AO27"/>
    <mergeCell ref="A28:L28"/>
    <mergeCell ref="M28:AE28"/>
    <mergeCell ref="AF28:AO28"/>
    <mergeCell ref="A29:L29"/>
    <mergeCell ref="M29:AE29"/>
    <mergeCell ref="AF29:AO29"/>
    <mergeCell ref="A30:L30"/>
    <mergeCell ref="M30:AE30"/>
    <mergeCell ref="AF30:AO30"/>
    <mergeCell ref="A31:L31"/>
    <mergeCell ref="M31:AE31"/>
    <mergeCell ref="AF31:AO31"/>
    <mergeCell ref="A32:AO32"/>
    <mergeCell ref="A33:AO33"/>
    <mergeCell ref="A34:AO34"/>
    <mergeCell ref="A35:AO35"/>
    <mergeCell ref="A36:AO36"/>
  </mergeCells>
  <phoneticPr fontId="1"/>
  <conditionalFormatting sqref="A16:AF31">
    <cfRule type="expression" dxfId="14" priority="1058">
      <formula>AND(ROWS(A$16:A16)&lt;=$AQ$13,A16="")</formula>
    </cfRule>
  </conditionalFormatting>
  <conditionalFormatting sqref="J1">
    <cfRule type="expression" dxfId="13" priority="7">
      <formula>J1="未入力あり"</formula>
    </cfRule>
  </conditionalFormatting>
  <conditionalFormatting sqref="J1:AO1">
    <cfRule type="expression" dxfId="12" priority="2">
      <formula>FIND("再確認",$J$1)</formula>
    </cfRule>
  </conditionalFormatting>
  <conditionalFormatting sqref="AQ1:AQ100">
    <cfRule type="expression" dxfId="11" priority="5">
      <formula>FIND("未入力",AQ1)</formula>
    </cfRule>
    <cfRule type="expression" dxfId="10" priority="6">
      <formula>_xlfn.ISFORMULA(AQ1)</formula>
    </cfRule>
  </conditionalFormatting>
  <conditionalFormatting sqref="AR13:AR19">
    <cfRule type="expression" dxfId="9" priority="1">
      <formula>FIND("確認",AR13)</formula>
    </cfRule>
  </conditionalFormatting>
  <dataValidations count="2">
    <dataValidation type="list" allowBlank="1" showInputMessage="1" showErrorMessage="1" error="ドロップダウン リスト から選択" sqref="M16:AE31" xr:uid="{00000000-0002-0000-1000-000000000000}">
      <formula1>"液化石油ガス設備士免状,高圧ガス販売主任者免状(販Ⅱ),高圧ガス製造保安責任者免状(乙化・丙化等),業務主任者の代理者講習修了証,保安業務員講習修了証,液化石油ガス調査員講習修了証"</formula1>
    </dataValidation>
    <dataValidation imeMode="halfAlpha" allowBlank="1" showInputMessage="1" showErrorMessage="1" sqref="AF16:AO31" xr:uid="{00000000-0002-0000-1000-000001000000}"/>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AR56"/>
  <sheetViews>
    <sheetView workbookViewId="0">
      <selection activeCell="A3" sqref="A3:AO3"/>
    </sheetView>
  </sheetViews>
  <sheetFormatPr defaultColWidth="8.75" defaultRowHeight="12.75" x14ac:dyDescent="0.15"/>
  <cols>
    <col min="1" max="1" width="2.125" style="2" customWidth="1"/>
    <col min="2" max="3" width="2.5" style="2" customWidth="1"/>
    <col min="4" max="40" width="2.125" style="2" customWidth="1"/>
    <col min="41" max="41" width="3.125" style="2" customWidth="1"/>
    <col min="42" max="42" width="8.75" style="2"/>
    <col min="43" max="43" width="3.25" style="2" bestFit="1" customWidth="1"/>
    <col min="44" max="16384" width="8.75" style="2"/>
  </cols>
  <sheetData>
    <row r="1" spans="1:44" ht="18.600000000000001" customHeight="1" x14ac:dyDescent="0.15">
      <c r="A1" s="2" t="s">
        <v>146</v>
      </c>
      <c r="I1" s="166" t="str">
        <f>IF(COUNTIF(AR1:AR100,"*未入力*"),"未入力あり",IF(AR13=0,"提出不要",""))</f>
        <v>提出不要</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4" ht="21.95" customHeight="1" x14ac:dyDescent="0.15">
      <c r="AO2" s="3"/>
    </row>
    <row r="3" spans="1:44" ht="18.600000000000001" customHeight="1" x14ac:dyDescent="0.15">
      <c r="A3" s="256" t="s">
        <v>147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4" ht="18.600000000000001" customHeight="1" x14ac:dyDescent="0.15">
      <c r="A4" s="248" t="str">
        <f>TEXT(AR5,"ggge年(")&amp;TEXT(AR5,"yyyy年)m月d日")</f>
        <v>令和5年(2023年)10月1日</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
    </row>
    <row r="5" spans="1:44" ht="18.600000000000001" customHeight="1" x14ac:dyDescent="0.15">
      <c r="A5" s="14"/>
      <c r="AR5" s="2">
        <f>IF(入力!D2="",様式14!$AQ$5&amp;様式14!$AR$5&amp;ROW(入力!D2)&amp;" 未入力",入力!D2)</f>
        <v>45200</v>
      </c>
    </row>
    <row r="6" spans="1:44" ht="18.600000000000001" customHeight="1" x14ac:dyDescent="0.15">
      <c r="A6" s="2" t="s">
        <v>119</v>
      </c>
      <c r="AR6" s="2" t="str">
        <f>IF(入力!D3="",様式14!$AQ$5&amp;様式14!$AR$5&amp;ROW(入力!D3)&amp;" 未入力",入力!D3)</f>
        <v>法人</v>
      </c>
    </row>
    <row r="7" spans="1:44" ht="18.600000000000001" customHeight="1" x14ac:dyDescent="0.15">
      <c r="AR7" s="2">
        <f>MAX(LENB(AR9)/2,LENB(AR10)/2)</f>
        <v>6</v>
      </c>
    </row>
    <row r="8" spans="1:44" ht="18.600000000000001" customHeight="1" x14ac:dyDescent="0.15">
      <c r="A8" s="164" t="str">
        <f>IF(AR6="法人",AR8&amp;"氏名又は名称　　　"&amp;AR9,IF(AR6="個人","　　　　　"&amp;AR8&amp;"氏名　"&amp;AR9&amp;"　　印"))</f>
        <v>　　　　　　　　　　　　　　　　　　　氏名又は名称　　　○○株式会社</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R8" s="2" t="str">
        <f>IF(AR7&lt;13,"　　　","")&amp;IF(AR7&lt;16,"　　　","")&amp;IF(AR7&lt;19,"　　　","")&amp;IF(AR7&lt;22,"　　　","")&amp;IF(AR7&lt;25,"　　　","")&amp;"　　　　"</f>
        <v>　　　　　　　　　　　　　　　　　　　</v>
      </c>
    </row>
    <row r="9" spans="1:44" ht="18.600000000000001" customHeight="1" x14ac:dyDescent="0.15">
      <c r="A9" s="164" t="str">
        <f>IF(AR6="個人","",IF(AR6="法人",AR8&amp;"その代表者の氏名　"&amp;AR10&amp;"　　印"))</f>
        <v>　　　　　　　　　　　　　　　　　　　その代表者の氏名　□□　□□　　印</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R9" s="2" t="str">
        <f>IF(入力!D5="",様式14!$AQ$5&amp;様式14!$AR$5&amp;ROW(入力!D5)&amp;" 未入力",入力!D5)</f>
        <v>○○株式会社</v>
      </c>
    </row>
    <row r="10" spans="1:44" ht="18.600000000000001" customHeight="1" x14ac:dyDescent="0.15">
      <c r="AR10" s="2" t="str">
        <f>IF(AR6="個人","",IF(入力!D6="",様式14!$AQ$5&amp;様式14!$AR$5&amp;ROW(入力!D6)&amp;" 未入力",入力!D6))</f>
        <v>□□　□□</v>
      </c>
    </row>
    <row r="11" spans="1:44" ht="18.600000000000001" customHeight="1" x14ac:dyDescent="0.15">
      <c r="AR11" s="2" t="str">
        <f>IF(入力!D9="",様式14!$AQ$5&amp;様式14!$AR$5&amp;ROW(入力!D9)&amp;" 未入力",入力!D9)</f>
        <v>同じ</v>
      </c>
    </row>
    <row r="12" spans="1:44" ht="18.600000000000001" customHeight="1" x14ac:dyDescent="0.15">
      <c r="A12" s="164" t="s">
        <v>526</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R12" s="2" t="str">
        <f>IF(AR11="同じ","",IF(入力!D10="",様式14!$AQ$5&amp;様式14!$AR$5&amp;ROW(入力!D10)&amp;" 未入力",入力!D10))</f>
        <v/>
      </c>
    </row>
    <row r="13" spans="1:44" ht="18.600000000000001" customHeight="1" x14ac:dyDescent="0.15">
      <c r="A13" s="276" t="s">
        <v>525</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R13" s="2">
        <f>COUNTIF('滋様13-10'!M1:M100,"*保安業務員*")+COUNTIF('滋様13-10'!M1:M100,"*調査員*")</f>
        <v>0</v>
      </c>
    </row>
    <row r="14" spans="1:44" ht="18.600000000000001" customHeight="1" x14ac:dyDescent="0.15">
      <c r="A14" s="164" t="str">
        <f>"事業所の名称："&amp;IF(AR6="個人",IF(AR11="同じ",AR9,AR12),AR9&amp;"　"&amp;AR12)</f>
        <v>事業所の名称：○○株式会社　</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row>
    <row r="15" spans="1:44" ht="18.600000000000001" customHeight="1" x14ac:dyDescent="0.15">
      <c r="A15" s="289" t="s">
        <v>83</v>
      </c>
      <c r="B15" s="289"/>
      <c r="C15" s="289"/>
      <c r="D15" s="289"/>
      <c r="E15" s="289"/>
      <c r="F15" s="289"/>
      <c r="G15" s="289"/>
      <c r="H15" s="289" t="s">
        <v>148</v>
      </c>
      <c r="I15" s="289"/>
      <c r="J15" s="289"/>
      <c r="K15" s="289"/>
      <c r="L15" s="289"/>
      <c r="M15" s="289"/>
      <c r="N15" s="289"/>
      <c r="O15" s="289"/>
      <c r="P15" s="289"/>
      <c r="Q15" s="289"/>
      <c r="R15" s="289"/>
      <c r="S15" s="289"/>
      <c r="T15" s="289"/>
      <c r="U15" s="289"/>
      <c r="V15" s="289"/>
      <c r="W15" s="289"/>
      <c r="X15" s="289"/>
      <c r="Y15" s="289" t="s">
        <v>149</v>
      </c>
      <c r="Z15" s="289"/>
      <c r="AA15" s="289"/>
      <c r="AB15" s="289"/>
      <c r="AC15" s="289"/>
      <c r="AD15" s="289"/>
      <c r="AE15" s="289"/>
      <c r="AF15" s="289"/>
      <c r="AG15" s="289"/>
      <c r="AH15" s="289"/>
      <c r="AI15" s="289"/>
      <c r="AJ15" s="289"/>
      <c r="AK15" s="289"/>
      <c r="AL15" s="289"/>
      <c r="AM15" s="289"/>
      <c r="AN15" s="289"/>
      <c r="AO15" s="289"/>
    </row>
    <row r="16" spans="1:44" ht="21.95" customHeight="1" x14ac:dyDescent="0.15">
      <c r="A16" s="356" t="str">
        <f>IF(AQ16&gt;AR$13,"",INDEX('滋様13-10'!$A$1:$A$100,LARGE(INDEX(ROW('滋様13-10'!$A$16:$A$100)*(('滋様13-10'!$M$16:$M$100="保安業務員講習修了証")+('滋様13-10'!$M$16:$M$100="液化石油ガス調査員講習修了証")),),AR$13-AQ16+1),1))</f>
        <v/>
      </c>
      <c r="B16" s="357"/>
      <c r="C16" s="357"/>
      <c r="D16" s="357"/>
      <c r="E16" s="357"/>
      <c r="F16" s="357"/>
      <c r="G16" s="358"/>
      <c r="H16" s="350"/>
      <c r="I16" s="351"/>
      <c r="J16" s="351"/>
      <c r="K16" s="351"/>
      <c r="L16" s="351"/>
      <c r="M16" s="351"/>
      <c r="N16" s="351"/>
      <c r="O16" s="351"/>
      <c r="P16" s="351"/>
      <c r="Q16" s="351"/>
      <c r="R16" s="351"/>
      <c r="S16" s="351"/>
      <c r="T16" s="351"/>
      <c r="U16" s="351"/>
      <c r="V16" s="351"/>
      <c r="W16" s="351"/>
      <c r="X16" s="352"/>
      <c r="Y16" s="353"/>
      <c r="Z16" s="354"/>
      <c r="AA16" s="354"/>
      <c r="AB16" s="354"/>
      <c r="AC16" s="354"/>
      <c r="AD16" s="354"/>
      <c r="AE16" s="354"/>
      <c r="AF16" s="354"/>
      <c r="AG16" s="354"/>
      <c r="AH16" s="354"/>
      <c r="AI16" s="354"/>
      <c r="AJ16" s="354"/>
      <c r="AK16" s="354"/>
      <c r="AL16" s="354"/>
      <c r="AM16" s="354"/>
      <c r="AN16" s="354"/>
      <c r="AO16" s="355"/>
      <c r="AQ16" s="2">
        <f>ROWS(AQ$16:AQ16)</f>
        <v>1</v>
      </c>
    </row>
    <row r="17" spans="1:43" ht="21.95" customHeight="1" x14ac:dyDescent="0.15">
      <c r="A17" s="356" t="str">
        <f>IF(AQ17&gt;AR$13,"",INDEX('滋様13-10'!$A$1:$A$100,LARGE(INDEX(ROW('滋様13-10'!$A$16:$A$100)*(('滋様13-10'!$M$16:$M$100="保安業務員講習修了証")+('滋様13-10'!$M$16:$M$100="液化石油ガス調査員講習修了証")),),AR$13-AQ17+1),1))</f>
        <v/>
      </c>
      <c r="B17" s="357"/>
      <c r="C17" s="357"/>
      <c r="D17" s="357"/>
      <c r="E17" s="357"/>
      <c r="F17" s="357"/>
      <c r="G17" s="358"/>
      <c r="H17" s="350"/>
      <c r="I17" s="351"/>
      <c r="J17" s="351"/>
      <c r="K17" s="351"/>
      <c r="L17" s="351"/>
      <c r="M17" s="351"/>
      <c r="N17" s="351"/>
      <c r="O17" s="351"/>
      <c r="P17" s="351"/>
      <c r="Q17" s="351"/>
      <c r="R17" s="351"/>
      <c r="S17" s="351"/>
      <c r="T17" s="351"/>
      <c r="U17" s="351"/>
      <c r="V17" s="351"/>
      <c r="W17" s="351"/>
      <c r="X17" s="352"/>
      <c r="Y17" s="353"/>
      <c r="Z17" s="354"/>
      <c r="AA17" s="354"/>
      <c r="AB17" s="354"/>
      <c r="AC17" s="354"/>
      <c r="AD17" s="354"/>
      <c r="AE17" s="354"/>
      <c r="AF17" s="354"/>
      <c r="AG17" s="354"/>
      <c r="AH17" s="354"/>
      <c r="AI17" s="354"/>
      <c r="AJ17" s="354"/>
      <c r="AK17" s="354"/>
      <c r="AL17" s="354"/>
      <c r="AM17" s="354"/>
      <c r="AN17" s="354"/>
      <c r="AO17" s="355"/>
      <c r="AQ17" s="2">
        <f>ROWS(AQ$16:AQ17)</f>
        <v>2</v>
      </c>
    </row>
    <row r="18" spans="1:43" ht="21.95" customHeight="1" x14ac:dyDescent="0.15">
      <c r="A18" s="356" t="str">
        <f>IF(AQ18&gt;AR$13,"",INDEX('滋様13-10'!$A$1:$A$100,LARGE(INDEX(ROW('滋様13-10'!$A$16:$A$100)*(('滋様13-10'!$M$16:$M$100="保安業務員講習修了証")+('滋様13-10'!$M$16:$M$100="液化石油ガス調査員講習修了証")),),AR$13-AQ18+1),1))</f>
        <v/>
      </c>
      <c r="B18" s="357"/>
      <c r="C18" s="357"/>
      <c r="D18" s="357"/>
      <c r="E18" s="357"/>
      <c r="F18" s="357"/>
      <c r="G18" s="358"/>
      <c r="H18" s="350"/>
      <c r="I18" s="351"/>
      <c r="J18" s="351"/>
      <c r="K18" s="351"/>
      <c r="L18" s="351"/>
      <c r="M18" s="351"/>
      <c r="N18" s="351"/>
      <c r="O18" s="351"/>
      <c r="P18" s="351"/>
      <c r="Q18" s="351"/>
      <c r="R18" s="351"/>
      <c r="S18" s="351"/>
      <c r="T18" s="351"/>
      <c r="U18" s="351"/>
      <c r="V18" s="351"/>
      <c r="W18" s="351"/>
      <c r="X18" s="352"/>
      <c r="Y18" s="353"/>
      <c r="Z18" s="354"/>
      <c r="AA18" s="354"/>
      <c r="AB18" s="354"/>
      <c r="AC18" s="354"/>
      <c r="AD18" s="354"/>
      <c r="AE18" s="354"/>
      <c r="AF18" s="354"/>
      <c r="AG18" s="354"/>
      <c r="AH18" s="354"/>
      <c r="AI18" s="354"/>
      <c r="AJ18" s="354"/>
      <c r="AK18" s="354"/>
      <c r="AL18" s="354"/>
      <c r="AM18" s="354"/>
      <c r="AN18" s="354"/>
      <c r="AO18" s="355"/>
      <c r="AQ18" s="2">
        <f>ROWS(AQ$16:AQ18)</f>
        <v>3</v>
      </c>
    </row>
    <row r="19" spans="1:43" ht="21.95" customHeight="1" x14ac:dyDescent="0.15">
      <c r="A19" s="356" t="str">
        <f>IF(AQ19&gt;AR$13,"",INDEX('滋様13-10'!$A$1:$A$100,LARGE(INDEX(ROW('滋様13-10'!$A$16:$A$100)*(('滋様13-10'!$M$16:$M$100="保安業務員講習修了証")+('滋様13-10'!$M$16:$M$100="液化石油ガス調査員講習修了証")),),AR$13-AQ19+1),1))</f>
        <v/>
      </c>
      <c r="B19" s="357"/>
      <c r="C19" s="357"/>
      <c r="D19" s="357"/>
      <c r="E19" s="357"/>
      <c r="F19" s="357"/>
      <c r="G19" s="358"/>
      <c r="H19" s="350"/>
      <c r="I19" s="351"/>
      <c r="J19" s="351"/>
      <c r="K19" s="351"/>
      <c r="L19" s="351"/>
      <c r="M19" s="351"/>
      <c r="N19" s="351"/>
      <c r="O19" s="351"/>
      <c r="P19" s="351"/>
      <c r="Q19" s="351"/>
      <c r="R19" s="351"/>
      <c r="S19" s="351"/>
      <c r="T19" s="351"/>
      <c r="U19" s="351"/>
      <c r="V19" s="351"/>
      <c r="W19" s="351"/>
      <c r="X19" s="352"/>
      <c r="Y19" s="353"/>
      <c r="Z19" s="354"/>
      <c r="AA19" s="354"/>
      <c r="AB19" s="354"/>
      <c r="AC19" s="354"/>
      <c r="AD19" s="354"/>
      <c r="AE19" s="354"/>
      <c r="AF19" s="354"/>
      <c r="AG19" s="354"/>
      <c r="AH19" s="354"/>
      <c r="AI19" s="354"/>
      <c r="AJ19" s="354"/>
      <c r="AK19" s="354"/>
      <c r="AL19" s="354"/>
      <c r="AM19" s="354"/>
      <c r="AN19" s="354"/>
      <c r="AO19" s="355"/>
      <c r="AQ19" s="2">
        <f>ROWS(AQ$16:AQ19)</f>
        <v>4</v>
      </c>
    </row>
    <row r="20" spans="1:43" ht="21.95" customHeight="1" x14ac:dyDescent="0.15">
      <c r="A20" s="356" t="str">
        <f>IF(AQ20&gt;AR$13,"",INDEX('滋様13-10'!$A$1:$A$100,LARGE(INDEX(ROW('滋様13-10'!$A$16:$A$100)*(('滋様13-10'!$M$16:$M$100="保安業務員講習修了証")+('滋様13-10'!$M$16:$M$100="液化石油ガス調査員講習修了証")),),AR$13-AQ20+1),1))</f>
        <v/>
      </c>
      <c r="B20" s="357"/>
      <c r="C20" s="357"/>
      <c r="D20" s="357"/>
      <c r="E20" s="357"/>
      <c r="F20" s="357"/>
      <c r="G20" s="358"/>
      <c r="H20" s="350"/>
      <c r="I20" s="351"/>
      <c r="J20" s="351"/>
      <c r="K20" s="351"/>
      <c r="L20" s="351"/>
      <c r="M20" s="351"/>
      <c r="N20" s="351"/>
      <c r="O20" s="351"/>
      <c r="P20" s="351"/>
      <c r="Q20" s="351"/>
      <c r="R20" s="351"/>
      <c r="S20" s="351"/>
      <c r="T20" s="351"/>
      <c r="U20" s="351"/>
      <c r="V20" s="351"/>
      <c r="W20" s="351"/>
      <c r="X20" s="352"/>
      <c r="Y20" s="353"/>
      <c r="Z20" s="354"/>
      <c r="AA20" s="354"/>
      <c r="AB20" s="354"/>
      <c r="AC20" s="354"/>
      <c r="AD20" s="354"/>
      <c r="AE20" s="354"/>
      <c r="AF20" s="354"/>
      <c r="AG20" s="354"/>
      <c r="AH20" s="354"/>
      <c r="AI20" s="354"/>
      <c r="AJ20" s="354"/>
      <c r="AK20" s="354"/>
      <c r="AL20" s="354"/>
      <c r="AM20" s="354"/>
      <c r="AN20" s="354"/>
      <c r="AO20" s="355"/>
      <c r="AQ20" s="2">
        <f>ROWS(AQ$16:AQ20)</f>
        <v>5</v>
      </c>
    </row>
    <row r="21" spans="1:43" ht="21.95" customHeight="1" x14ac:dyDescent="0.15">
      <c r="A21" s="356" t="str">
        <f>IF(AQ21&gt;AR$13,"",INDEX('滋様13-10'!$A$1:$A$100,LARGE(INDEX(ROW('滋様13-10'!$A$16:$A$100)*(('滋様13-10'!$M$16:$M$100="保安業務員講習修了証")+('滋様13-10'!$M$16:$M$100="液化石油ガス調査員講習修了証")),),AR$13-AQ21+1),1))</f>
        <v/>
      </c>
      <c r="B21" s="357"/>
      <c r="C21" s="357"/>
      <c r="D21" s="357"/>
      <c r="E21" s="357"/>
      <c r="F21" s="357"/>
      <c r="G21" s="358"/>
      <c r="H21" s="350"/>
      <c r="I21" s="351"/>
      <c r="J21" s="351"/>
      <c r="K21" s="351"/>
      <c r="L21" s="351"/>
      <c r="M21" s="351"/>
      <c r="N21" s="351"/>
      <c r="O21" s="351"/>
      <c r="P21" s="351"/>
      <c r="Q21" s="351"/>
      <c r="R21" s="351"/>
      <c r="S21" s="351"/>
      <c r="T21" s="351"/>
      <c r="U21" s="351"/>
      <c r="V21" s="351"/>
      <c r="W21" s="351"/>
      <c r="X21" s="352"/>
      <c r="Y21" s="353"/>
      <c r="Z21" s="354"/>
      <c r="AA21" s="354"/>
      <c r="AB21" s="354"/>
      <c r="AC21" s="354"/>
      <c r="AD21" s="354"/>
      <c r="AE21" s="354"/>
      <c r="AF21" s="354"/>
      <c r="AG21" s="354"/>
      <c r="AH21" s="354"/>
      <c r="AI21" s="354"/>
      <c r="AJ21" s="354"/>
      <c r="AK21" s="354"/>
      <c r="AL21" s="354"/>
      <c r="AM21" s="354"/>
      <c r="AN21" s="354"/>
      <c r="AO21" s="355"/>
      <c r="AQ21" s="2">
        <f>ROWS(AQ$16:AQ21)</f>
        <v>6</v>
      </c>
    </row>
    <row r="22" spans="1:43" ht="21.95" customHeight="1" x14ac:dyDescent="0.15">
      <c r="A22" s="356" t="str">
        <f>IF(AQ22&gt;AR$13,"",INDEX('滋様13-10'!$A$1:$A$100,LARGE(INDEX(ROW('滋様13-10'!$A$16:$A$100)*(('滋様13-10'!$M$16:$M$100="保安業務員講習修了証")+('滋様13-10'!$M$16:$M$100="液化石油ガス調査員講習修了証")),),AR$13-AQ22+1),1))</f>
        <v/>
      </c>
      <c r="B22" s="357"/>
      <c r="C22" s="357"/>
      <c r="D22" s="357"/>
      <c r="E22" s="357"/>
      <c r="F22" s="357"/>
      <c r="G22" s="358"/>
      <c r="H22" s="350"/>
      <c r="I22" s="351"/>
      <c r="J22" s="351"/>
      <c r="K22" s="351"/>
      <c r="L22" s="351"/>
      <c r="M22" s="351"/>
      <c r="N22" s="351"/>
      <c r="O22" s="351"/>
      <c r="P22" s="351"/>
      <c r="Q22" s="351"/>
      <c r="R22" s="351"/>
      <c r="S22" s="351"/>
      <c r="T22" s="351"/>
      <c r="U22" s="351"/>
      <c r="V22" s="351"/>
      <c r="W22" s="351"/>
      <c r="X22" s="352"/>
      <c r="Y22" s="353"/>
      <c r="Z22" s="354"/>
      <c r="AA22" s="354"/>
      <c r="AB22" s="354"/>
      <c r="AC22" s="354"/>
      <c r="AD22" s="354"/>
      <c r="AE22" s="354"/>
      <c r="AF22" s="354"/>
      <c r="AG22" s="354"/>
      <c r="AH22" s="354"/>
      <c r="AI22" s="354"/>
      <c r="AJ22" s="354"/>
      <c r="AK22" s="354"/>
      <c r="AL22" s="354"/>
      <c r="AM22" s="354"/>
      <c r="AN22" s="354"/>
      <c r="AO22" s="355"/>
      <c r="AQ22" s="2">
        <f>ROWS(AQ$16:AQ22)</f>
        <v>7</v>
      </c>
    </row>
    <row r="23" spans="1:43" ht="21.95" customHeight="1" x14ac:dyDescent="0.15">
      <c r="A23" s="356" t="str">
        <f>IF(AQ23&gt;AR$13,"",INDEX('滋様13-10'!$A$1:$A$100,LARGE(INDEX(ROW('滋様13-10'!$A$16:$A$100)*(('滋様13-10'!$M$16:$M$100="保安業務員講習修了証")+('滋様13-10'!$M$16:$M$100="液化石油ガス調査員講習修了証")),),AR$13-AQ23+1),1))</f>
        <v/>
      </c>
      <c r="B23" s="357"/>
      <c r="C23" s="357"/>
      <c r="D23" s="357"/>
      <c r="E23" s="357"/>
      <c r="F23" s="357"/>
      <c r="G23" s="358"/>
      <c r="H23" s="350"/>
      <c r="I23" s="351"/>
      <c r="J23" s="351"/>
      <c r="K23" s="351"/>
      <c r="L23" s="351"/>
      <c r="M23" s="351"/>
      <c r="N23" s="351"/>
      <c r="O23" s="351"/>
      <c r="P23" s="351"/>
      <c r="Q23" s="351"/>
      <c r="R23" s="351"/>
      <c r="S23" s="351"/>
      <c r="T23" s="351"/>
      <c r="U23" s="351"/>
      <c r="V23" s="351"/>
      <c r="W23" s="351"/>
      <c r="X23" s="352"/>
      <c r="Y23" s="353"/>
      <c r="Z23" s="354"/>
      <c r="AA23" s="354"/>
      <c r="AB23" s="354"/>
      <c r="AC23" s="354"/>
      <c r="AD23" s="354"/>
      <c r="AE23" s="354"/>
      <c r="AF23" s="354"/>
      <c r="AG23" s="354"/>
      <c r="AH23" s="354"/>
      <c r="AI23" s="354"/>
      <c r="AJ23" s="354"/>
      <c r="AK23" s="354"/>
      <c r="AL23" s="354"/>
      <c r="AM23" s="354"/>
      <c r="AN23" s="354"/>
      <c r="AO23" s="355"/>
      <c r="AQ23" s="2">
        <f>ROWS(AQ$16:AQ23)</f>
        <v>8</v>
      </c>
    </row>
    <row r="24" spans="1:43" ht="21.95" customHeight="1" x14ac:dyDescent="0.15">
      <c r="A24" s="356" t="str">
        <f>IF(AQ24&gt;AR$13,"",INDEX('滋様13-10'!$A$1:$A$100,LARGE(INDEX(ROW('滋様13-10'!$A$16:$A$100)*(('滋様13-10'!$M$16:$M$100="保安業務員講習修了証")+('滋様13-10'!$M$16:$M$100="液化石油ガス調査員講習修了証")),),AR$13-AQ24+1),1))</f>
        <v/>
      </c>
      <c r="B24" s="357"/>
      <c r="C24" s="357"/>
      <c r="D24" s="357"/>
      <c r="E24" s="357"/>
      <c r="F24" s="357"/>
      <c r="G24" s="358"/>
      <c r="H24" s="350"/>
      <c r="I24" s="351"/>
      <c r="J24" s="351"/>
      <c r="K24" s="351"/>
      <c r="L24" s="351"/>
      <c r="M24" s="351"/>
      <c r="N24" s="351"/>
      <c r="O24" s="351"/>
      <c r="P24" s="351"/>
      <c r="Q24" s="351"/>
      <c r="R24" s="351"/>
      <c r="S24" s="351"/>
      <c r="T24" s="351"/>
      <c r="U24" s="351"/>
      <c r="V24" s="351"/>
      <c r="W24" s="351"/>
      <c r="X24" s="352"/>
      <c r="Y24" s="353"/>
      <c r="Z24" s="354"/>
      <c r="AA24" s="354"/>
      <c r="AB24" s="354"/>
      <c r="AC24" s="354"/>
      <c r="AD24" s="354"/>
      <c r="AE24" s="354"/>
      <c r="AF24" s="354"/>
      <c r="AG24" s="354"/>
      <c r="AH24" s="354"/>
      <c r="AI24" s="354"/>
      <c r="AJ24" s="354"/>
      <c r="AK24" s="354"/>
      <c r="AL24" s="354"/>
      <c r="AM24" s="354"/>
      <c r="AN24" s="354"/>
      <c r="AO24" s="355"/>
      <c r="AQ24" s="2">
        <f>ROWS(AQ$16:AQ24)</f>
        <v>9</v>
      </c>
    </row>
    <row r="25" spans="1:43" ht="21.95" customHeight="1" x14ac:dyDescent="0.15">
      <c r="A25" s="356" t="str">
        <f>IF(AQ25&gt;AR$13,"",INDEX('滋様13-10'!$A$1:$A$100,LARGE(INDEX(ROW('滋様13-10'!$A$16:$A$100)*(('滋様13-10'!$M$16:$M$100="保安業務員講習修了証")+('滋様13-10'!$M$16:$M$100="液化石油ガス調査員講習修了証")),),AR$13-AQ25+1),1))</f>
        <v/>
      </c>
      <c r="B25" s="357"/>
      <c r="C25" s="357"/>
      <c r="D25" s="357"/>
      <c r="E25" s="357"/>
      <c r="F25" s="357"/>
      <c r="G25" s="358"/>
      <c r="H25" s="350"/>
      <c r="I25" s="351"/>
      <c r="J25" s="351"/>
      <c r="K25" s="351"/>
      <c r="L25" s="351"/>
      <c r="M25" s="351"/>
      <c r="N25" s="351"/>
      <c r="O25" s="351"/>
      <c r="P25" s="351"/>
      <c r="Q25" s="351"/>
      <c r="R25" s="351"/>
      <c r="S25" s="351"/>
      <c r="T25" s="351"/>
      <c r="U25" s="351"/>
      <c r="V25" s="351"/>
      <c r="W25" s="351"/>
      <c r="X25" s="352"/>
      <c r="Y25" s="353"/>
      <c r="Z25" s="354"/>
      <c r="AA25" s="354"/>
      <c r="AB25" s="354"/>
      <c r="AC25" s="354"/>
      <c r="AD25" s="354"/>
      <c r="AE25" s="354"/>
      <c r="AF25" s="354"/>
      <c r="AG25" s="354"/>
      <c r="AH25" s="354"/>
      <c r="AI25" s="354"/>
      <c r="AJ25" s="354"/>
      <c r="AK25" s="354"/>
      <c r="AL25" s="354"/>
      <c r="AM25" s="354"/>
      <c r="AN25" s="354"/>
      <c r="AO25" s="355"/>
      <c r="AQ25" s="2">
        <f>ROWS(AQ$16:AQ25)</f>
        <v>10</v>
      </c>
    </row>
    <row r="26" spans="1:43" ht="21.95" customHeight="1" x14ac:dyDescent="0.15">
      <c r="A26" s="356" t="str">
        <f>IF(AQ26&gt;AR$13,"",INDEX('滋様13-10'!$A$1:$A$100,LARGE(INDEX(ROW('滋様13-10'!$A$16:$A$100)*(('滋様13-10'!$M$16:$M$100="保安業務員講習修了証")+('滋様13-10'!$M$16:$M$100="液化石油ガス調査員講習修了証")),),AR$13-AQ26+1),1))</f>
        <v/>
      </c>
      <c r="B26" s="357"/>
      <c r="C26" s="357"/>
      <c r="D26" s="357"/>
      <c r="E26" s="357"/>
      <c r="F26" s="357"/>
      <c r="G26" s="358"/>
      <c r="H26" s="350"/>
      <c r="I26" s="351"/>
      <c r="J26" s="351"/>
      <c r="K26" s="351"/>
      <c r="L26" s="351"/>
      <c r="M26" s="351"/>
      <c r="N26" s="351"/>
      <c r="O26" s="351"/>
      <c r="P26" s="351"/>
      <c r="Q26" s="351"/>
      <c r="R26" s="351"/>
      <c r="S26" s="351"/>
      <c r="T26" s="351"/>
      <c r="U26" s="351"/>
      <c r="V26" s="351"/>
      <c r="W26" s="351"/>
      <c r="X26" s="352"/>
      <c r="Y26" s="353"/>
      <c r="Z26" s="354"/>
      <c r="AA26" s="354"/>
      <c r="AB26" s="354"/>
      <c r="AC26" s="354"/>
      <c r="AD26" s="354"/>
      <c r="AE26" s="354"/>
      <c r="AF26" s="354"/>
      <c r="AG26" s="354"/>
      <c r="AH26" s="354"/>
      <c r="AI26" s="354"/>
      <c r="AJ26" s="354"/>
      <c r="AK26" s="354"/>
      <c r="AL26" s="354"/>
      <c r="AM26" s="354"/>
      <c r="AN26" s="354"/>
      <c r="AO26" s="355"/>
      <c r="AQ26" s="2">
        <f>ROWS(AQ$16:AQ26)</f>
        <v>11</v>
      </c>
    </row>
    <row r="27" spans="1:43" ht="21.95" customHeight="1" x14ac:dyDescent="0.15">
      <c r="A27" s="356" t="str">
        <f>IF(AQ27&gt;AR$13,"",INDEX('滋様13-10'!$A$1:$A$100,LARGE(INDEX(ROW('滋様13-10'!$A$16:$A$100)*(('滋様13-10'!$M$16:$M$100="保安業務員講習修了証")+('滋様13-10'!$M$16:$M$100="液化石油ガス調査員講習修了証")),),AR$13-AQ27+1),1))</f>
        <v/>
      </c>
      <c r="B27" s="357"/>
      <c r="C27" s="357"/>
      <c r="D27" s="357"/>
      <c r="E27" s="357"/>
      <c r="F27" s="357"/>
      <c r="G27" s="358"/>
      <c r="H27" s="350"/>
      <c r="I27" s="351"/>
      <c r="J27" s="351"/>
      <c r="K27" s="351"/>
      <c r="L27" s="351"/>
      <c r="M27" s="351"/>
      <c r="N27" s="351"/>
      <c r="O27" s="351"/>
      <c r="P27" s="351"/>
      <c r="Q27" s="351"/>
      <c r="R27" s="351"/>
      <c r="S27" s="351"/>
      <c r="T27" s="351"/>
      <c r="U27" s="351"/>
      <c r="V27" s="351"/>
      <c r="W27" s="351"/>
      <c r="X27" s="352"/>
      <c r="Y27" s="353"/>
      <c r="Z27" s="354"/>
      <c r="AA27" s="354"/>
      <c r="AB27" s="354"/>
      <c r="AC27" s="354"/>
      <c r="AD27" s="354"/>
      <c r="AE27" s="354"/>
      <c r="AF27" s="354"/>
      <c r="AG27" s="354"/>
      <c r="AH27" s="354"/>
      <c r="AI27" s="354"/>
      <c r="AJ27" s="354"/>
      <c r="AK27" s="354"/>
      <c r="AL27" s="354"/>
      <c r="AM27" s="354"/>
      <c r="AN27" s="354"/>
      <c r="AO27" s="355"/>
      <c r="AQ27" s="2">
        <f>ROWS(AQ$16:AQ27)</f>
        <v>12</v>
      </c>
    </row>
    <row r="28" spans="1:43" ht="21.95" customHeight="1" x14ac:dyDescent="0.15">
      <c r="A28" s="356" t="str">
        <f>IF(AQ28&gt;AR$13,"",INDEX('滋様13-10'!$A$1:$A$100,LARGE(INDEX(ROW('滋様13-10'!$A$16:$A$100)*(('滋様13-10'!$M$16:$M$100="保安業務員講習修了証")+('滋様13-10'!$M$16:$M$100="液化石油ガス調査員講習修了証")),),AR$13-AQ28+1),1))</f>
        <v/>
      </c>
      <c r="B28" s="357"/>
      <c r="C28" s="357"/>
      <c r="D28" s="357"/>
      <c r="E28" s="357"/>
      <c r="F28" s="357"/>
      <c r="G28" s="358"/>
      <c r="H28" s="350"/>
      <c r="I28" s="351"/>
      <c r="J28" s="351"/>
      <c r="K28" s="351"/>
      <c r="L28" s="351"/>
      <c r="M28" s="351"/>
      <c r="N28" s="351"/>
      <c r="O28" s="351"/>
      <c r="P28" s="351"/>
      <c r="Q28" s="351"/>
      <c r="R28" s="351"/>
      <c r="S28" s="351"/>
      <c r="T28" s="351"/>
      <c r="U28" s="351"/>
      <c r="V28" s="351"/>
      <c r="W28" s="351"/>
      <c r="X28" s="352"/>
      <c r="Y28" s="353"/>
      <c r="Z28" s="354"/>
      <c r="AA28" s="354"/>
      <c r="AB28" s="354"/>
      <c r="AC28" s="354"/>
      <c r="AD28" s="354"/>
      <c r="AE28" s="354"/>
      <c r="AF28" s="354"/>
      <c r="AG28" s="354"/>
      <c r="AH28" s="354"/>
      <c r="AI28" s="354"/>
      <c r="AJ28" s="354"/>
      <c r="AK28" s="354"/>
      <c r="AL28" s="354"/>
      <c r="AM28" s="354"/>
      <c r="AN28" s="354"/>
      <c r="AO28" s="355"/>
      <c r="AQ28" s="2">
        <f>ROWS(AQ$16:AQ28)</f>
        <v>13</v>
      </c>
    </row>
    <row r="29" spans="1:43" ht="21.95" customHeight="1" x14ac:dyDescent="0.15">
      <c r="A29" s="356" t="str">
        <f>IF(AQ29&gt;AR$13,"",INDEX('滋様13-10'!$A$1:$A$100,LARGE(INDEX(ROW('滋様13-10'!$A$16:$A$100)*(('滋様13-10'!$M$16:$M$100="保安業務員講習修了証")+('滋様13-10'!$M$16:$M$100="液化石油ガス調査員講習修了証")),),AR$13-AQ29+1),1))</f>
        <v/>
      </c>
      <c r="B29" s="357"/>
      <c r="C29" s="357"/>
      <c r="D29" s="357"/>
      <c r="E29" s="357"/>
      <c r="F29" s="357"/>
      <c r="G29" s="358"/>
      <c r="H29" s="350"/>
      <c r="I29" s="351"/>
      <c r="J29" s="351"/>
      <c r="K29" s="351"/>
      <c r="L29" s="351"/>
      <c r="M29" s="351"/>
      <c r="N29" s="351"/>
      <c r="O29" s="351"/>
      <c r="P29" s="351"/>
      <c r="Q29" s="351"/>
      <c r="R29" s="351"/>
      <c r="S29" s="351"/>
      <c r="T29" s="351"/>
      <c r="U29" s="351"/>
      <c r="V29" s="351"/>
      <c r="W29" s="351"/>
      <c r="X29" s="352"/>
      <c r="Y29" s="353"/>
      <c r="Z29" s="354"/>
      <c r="AA29" s="354"/>
      <c r="AB29" s="354"/>
      <c r="AC29" s="354"/>
      <c r="AD29" s="354"/>
      <c r="AE29" s="354"/>
      <c r="AF29" s="354"/>
      <c r="AG29" s="354"/>
      <c r="AH29" s="354"/>
      <c r="AI29" s="354"/>
      <c r="AJ29" s="354"/>
      <c r="AK29" s="354"/>
      <c r="AL29" s="354"/>
      <c r="AM29" s="354"/>
      <c r="AN29" s="354"/>
      <c r="AO29" s="355"/>
      <c r="AQ29" s="2">
        <f>ROWS(AQ$16:AQ29)</f>
        <v>14</v>
      </c>
    </row>
    <row r="30" spans="1:43" ht="21.95" customHeight="1" x14ac:dyDescent="0.15">
      <c r="A30" s="356" t="str">
        <f>IF(AQ30&gt;AR$13,"",INDEX('滋様13-10'!$A$1:$A$100,LARGE(INDEX(ROW('滋様13-10'!$A$16:$A$100)*(('滋様13-10'!$M$16:$M$100="保安業務員講習修了証")+('滋様13-10'!$M$16:$M$100="液化石油ガス調査員講習修了証")),),AR$13-AQ30+1),1))</f>
        <v/>
      </c>
      <c r="B30" s="357"/>
      <c r="C30" s="357"/>
      <c r="D30" s="357"/>
      <c r="E30" s="357"/>
      <c r="F30" s="357"/>
      <c r="G30" s="358"/>
      <c r="H30" s="350"/>
      <c r="I30" s="351"/>
      <c r="J30" s="351"/>
      <c r="K30" s="351"/>
      <c r="L30" s="351"/>
      <c r="M30" s="351"/>
      <c r="N30" s="351"/>
      <c r="O30" s="351"/>
      <c r="P30" s="351"/>
      <c r="Q30" s="351"/>
      <c r="R30" s="351"/>
      <c r="S30" s="351"/>
      <c r="T30" s="351"/>
      <c r="U30" s="351"/>
      <c r="V30" s="351"/>
      <c r="W30" s="351"/>
      <c r="X30" s="352"/>
      <c r="Y30" s="353"/>
      <c r="Z30" s="354"/>
      <c r="AA30" s="354"/>
      <c r="AB30" s="354"/>
      <c r="AC30" s="354"/>
      <c r="AD30" s="354"/>
      <c r="AE30" s="354"/>
      <c r="AF30" s="354"/>
      <c r="AG30" s="354"/>
      <c r="AH30" s="354"/>
      <c r="AI30" s="354"/>
      <c r="AJ30" s="354"/>
      <c r="AK30" s="354"/>
      <c r="AL30" s="354"/>
      <c r="AM30" s="354"/>
      <c r="AN30" s="354"/>
      <c r="AO30" s="355"/>
      <c r="AQ30" s="2">
        <f>ROWS(AQ$16:AQ30)</f>
        <v>15</v>
      </c>
    </row>
    <row r="31" spans="1:43" ht="21.95" customHeight="1" x14ac:dyDescent="0.15">
      <c r="A31" s="356" t="str">
        <f>IF(AQ31&gt;AR$13,"",INDEX('滋様13-10'!$A$1:$A$100,LARGE(INDEX(ROW('滋様13-10'!$A$16:$A$100)*(('滋様13-10'!$M$16:$M$100="保安業務員講習修了証")+('滋様13-10'!$M$16:$M$100="液化石油ガス調査員講習修了証")),),AR$13-AQ31+1),1))</f>
        <v/>
      </c>
      <c r="B31" s="357"/>
      <c r="C31" s="357"/>
      <c r="D31" s="357"/>
      <c r="E31" s="357"/>
      <c r="F31" s="357"/>
      <c r="G31" s="358"/>
      <c r="H31" s="350"/>
      <c r="I31" s="351"/>
      <c r="J31" s="351"/>
      <c r="K31" s="351"/>
      <c r="L31" s="351"/>
      <c r="M31" s="351"/>
      <c r="N31" s="351"/>
      <c r="O31" s="351"/>
      <c r="P31" s="351"/>
      <c r="Q31" s="351"/>
      <c r="R31" s="351"/>
      <c r="S31" s="351"/>
      <c r="T31" s="351"/>
      <c r="U31" s="351"/>
      <c r="V31" s="351"/>
      <c r="W31" s="351"/>
      <c r="X31" s="352"/>
      <c r="Y31" s="353"/>
      <c r="Z31" s="354"/>
      <c r="AA31" s="354"/>
      <c r="AB31" s="354"/>
      <c r="AC31" s="354"/>
      <c r="AD31" s="354"/>
      <c r="AE31" s="354"/>
      <c r="AF31" s="354"/>
      <c r="AG31" s="354"/>
      <c r="AH31" s="354"/>
      <c r="AI31" s="354"/>
      <c r="AJ31" s="354"/>
      <c r="AK31" s="354"/>
      <c r="AL31" s="354"/>
      <c r="AM31" s="354"/>
      <c r="AN31" s="354"/>
      <c r="AO31" s="355"/>
      <c r="AQ31" s="2">
        <f>ROWS(AQ$16:AQ31)</f>
        <v>16</v>
      </c>
    </row>
    <row r="32" spans="1:43" ht="15" customHeight="1" x14ac:dyDescent="0.15">
      <c r="A32" s="164" t="s">
        <v>150</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row>
    <row r="33" spans="1:41" ht="15" customHeight="1" x14ac:dyDescent="0.15">
      <c r="A33" s="164" t="s">
        <v>151</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row>
    <row r="34" spans="1:41" ht="15" customHeight="1" x14ac:dyDescent="0.15">
      <c r="A34" s="164" t="s">
        <v>152</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row>
    <row r="35" spans="1:41" ht="18.600000000000001" customHeight="1" x14ac:dyDescent="0.15"/>
    <row r="36" spans="1:41" ht="18.600000000000001" customHeight="1" x14ac:dyDescent="0.15"/>
    <row r="37" spans="1:41" ht="18.600000000000001" customHeight="1" x14ac:dyDescent="0.15"/>
    <row r="38" spans="1:41" ht="18.600000000000001" customHeight="1" x14ac:dyDescent="0.15"/>
    <row r="39" spans="1:41" ht="18.600000000000001" customHeight="1" x14ac:dyDescent="0.15"/>
    <row r="40" spans="1:41" ht="18.600000000000001" customHeight="1" x14ac:dyDescent="0.15"/>
    <row r="41" spans="1:41" ht="18.600000000000001" customHeight="1" x14ac:dyDescent="0.15"/>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sheetData>
  <sheetProtection sheet="1" objects="1" scenarios="1" formatRows="0" insertRows="0"/>
  <mergeCells count="62">
    <mergeCell ref="I1:AO1"/>
    <mergeCell ref="A18:G18"/>
    <mergeCell ref="H18:X18"/>
    <mergeCell ref="Y18:AO18"/>
    <mergeCell ref="A16:G16"/>
    <mergeCell ref="A17:G17"/>
    <mergeCell ref="H17:X17"/>
    <mergeCell ref="Y17:AO17"/>
    <mergeCell ref="A3:AO3"/>
    <mergeCell ref="A12:AO12"/>
    <mergeCell ref="A13:AO13"/>
    <mergeCell ref="A14:AO14"/>
    <mergeCell ref="A4:AN4"/>
    <mergeCell ref="A8:AO8"/>
    <mergeCell ref="A9:AO9"/>
    <mergeCell ref="A32:AO32"/>
    <mergeCell ref="H19:X19"/>
    <mergeCell ref="Y19:AO19"/>
    <mergeCell ref="A20:G20"/>
    <mergeCell ref="H20:X20"/>
    <mergeCell ref="Y20:AO20"/>
    <mergeCell ref="A21:G21"/>
    <mergeCell ref="H21:X21"/>
    <mergeCell ref="Y21:AO21"/>
    <mergeCell ref="A22:G22"/>
    <mergeCell ref="H22:X22"/>
    <mergeCell ref="Y22:AO22"/>
    <mergeCell ref="A23:G23"/>
    <mergeCell ref="H23:X23"/>
    <mergeCell ref="A19:G19"/>
    <mergeCell ref="Y23:AO23"/>
    <mergeCell ref="A33:AO33"/>
    <mergeCell ref="A34:AO34"/>
    <mergeCell ref="A15:G15"/>
    <mergeCell ref="H15:X15"/>
    <mergeCell ref="Y15:AO15"/>
    <mergeCell ref="Y16:AO16"/>
    <mergeCell ref="H16:X16"/>
    <mergeCell ref="A30:G30"/>
    <mergeCell ref="H30:X30"/>
    <mergeCell ref="Y30:AO30"/>
    <mergeCell ref="A31:G31"/>
    <mergeCell ref="A26:G26"/>
    <mergeCell ref="H26:X26"/>
    <mergeCell ref="Y26:AO26"/>
    <mergeCell ref="A27:G27"/>
    <mergeCell ref="Y25:AO25"/>
    <mergeCell ref="A24:G24"/>
    <mergeCell ref="H24:X24"/>
    <mergeCell ref="Y24:AO24"/>
    <mergeCell ref="A25:G25"/>
    <mergeCell ref="H25:X25"/>
    <mergeCell ref="H31:X31"/>
    <mergeCell ref="Y31:AO31"/>
    <mergeCell ref="H27:X27"/>
    <mergeCell ref="Y27:AO27"/>
    <mergeCell ref="A28:G28"/>
    <mergeCell ref="H28:X28"/>
    <mergeCell ref="Y28:AO28"/>
    <mergeCell ref="A29:G29"/>
    <mergeCell ref="H29:X29"/>
    <mergeCell ref="Y29:AO29"/>
  </mergeCells>
  <phoneticPr fontId="1"/>
  <conditionalFormatting sqref="H16:Y31">
    <cfRule type="expression" dxfId="8" priority="1">
      <formula>AND(NOT($A16=""),H16="")</formula>
    </cfRule>
  </conditionalFormatting>
  <conditionalFormatting sqref="I1">
    <cfRule type="expression" dxfId="7" priority="5">
      <formula>I1="未入力あり"</formula>
    </cfRule>
  </conditionalFormatting>
  <conditionalFormatting sqref="I1:AO1">
    <cfRule type="expression" dxfId="6" priority="3">
      <formula>I1="提出不要"</formula>
    </cfRule>
  </conditionalFormatting>
  <conditionalFormatting sqref="AR1:AR100">
    <cfRule type="expression" dxfId="5" priority="2">
      <formula>FIND("未入力",AR1)</formula>
    </cfRule>
    <cfRule type="expression" dxfId="4" priority="4">
      <formula>_xlfn.ISFORMULA(AR1)</formula>
    </cfRule>
  </conditionalFormatting>
  <dataValidations count="2">
    <dataValidation allowBlank="1" showInputMessage="1" showErrorMessage="1" prompt="記載例：_x000a_平成○年○月○日から令和○年○月○日" sqref="H16:X31" xr:uid="{00000000-0002-0000-1100-000000000000}"/>
    <dataValidation type="list" allowBlank="1" showInputMessage="1" showErrorMessage="1" error="ドロップダウン リスト から選択" prompt="ドロップダウン リスト から選択" sqref="Y16:AO31" xr:uid="{00000000-0002-0000-1100-000001000000}">
      <formula1>"保安機関における供給設備の点検の実務,保安機関における消費設備の調査の実務,高圧ガスの製造の実務,高圧ガスの販売の実務"</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AQ62"/>
  <sheetViews>
    <sheetView workbookViewId="0">
      <selection activeCell="A3" sqref="A3:AO3"/>
    </sheetView>
  </sheetViews>
  <sheetFormatPr defaultColWidth="8.75" defaultRowHeight="12.75" x14ac:dyDescent="0.15"/>
  <cols>
    <col min="1" max="1" width="2.125" style="2" customWidth="1"/>
    <col min="2" max="3" width="2.5" style="2" customWidth="1"/>
    <col min="4" max="40" width="2.125" style="2" customWidth="1"/>
    <col min="41" max="41" width="3.125" style="2" customWidth="1"/>
    <col min="42" max="16384" width="8.75" style="2"/>
  </cols>
  <sheetData>
    <row r="1" spans="1:43" ht="18.600000000000001" customHeight="1" x14ac:dyDescent="0.15">
      <c r="A1" s="2" t="s">
        <v>153</v>
      </c>
      <c r="J1" s="166" t="str">
        <f>IF(COUNTIF(AQ1:AQ100,"*未入力*"),"未入力あり",IF(SUM('滋様13-9'!N168:V168,'滋様13-9'!W168:AE168,'滋様13-9'!AF168:AN168,'滋様13-9'!N178:V178,'滋様13-9'!W178:AE178,'滋様13-9'!AF178:AN178)=0,"提出不要",""))</f>
        <v/>
      </c>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21.95" customHeight="1" x14ac:dyDescent="0.15">
      <c r="AO2" s="3"/>
    </row>
    <row r="3" spans="1:43" ht="18.600000000000001" customHeight="1" x14ac:dyDescent="0.15">
      <c r="A3" s="256" t="s">
        <v>154</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c r="A4" s="248" t="str">
        <f>TEXT(AQ5,"ggge年(")&amp;TEXT(AQ5,"yyyy年)m月d日")</f>
        <v>令和5年(2023年)10月1日</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
    </row>
    <row r="5" spans="1:43" ht="18.600000000000001" customHeight="1" x14ac:dyDescent="0.15">
      <c r="A5" s="14"/>
      <c r="AQ5" s="2">
        <f>IF(入力!D2="",様式14!$AQ$5&amp;様式14!$AR$5&amp;ROW(入力!D2)&amp;" 未入力",入力!D2)</f>
        <v>45200</v>
      </c>
    </row>
    <row r="6" spans="1:43" ht="18.600000000000001" customHeight="1" x14ac:dyDescent="0.15">
      <c r="A6" s="2" t="s">
        <v>119</v>
      </c>
      <c r="AQ6" s="2" t="str">
        <f>IF(入力!D3="",様式14!$AQ$5&amp;様式14!$AR$5&amp;ROW(入力!D3)&amp;" 未入力",入力!D3)</f>
        <v>法人</v>
      </c>
    </row>
    <row r="7" spans="1:43" ht="18.600000000000001" customHeight="1" x14ac:dyDescent="0.15">
      <c r="AQ7" s="2">
        <f>MAX(LENB(AQ9)/2,LENB(AQ10)/2)</f>
        <v>6</v>
      </c>
    </row>
    <row r="8" spans="1:43" ht="18.600000000000001" customHeight="1" x14ac:dyDescent="0.15">
      <c r="A8" s="164" t="str">
        <f>IF(AQ6="法人",AQ8&amp;"氏名又は名称　　　"&amp;AQ9,IF(AQ6="個人","　　　　　"&amp;AQ8&amp;"氏名　"&amp;AQ9&amp;"　　印"))</f>
        <v>　　　　　　　　　　　　　　　　　　　氏名又は名称　　　○○株式会社</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Q8" s="2" t="str">
        <f>IF(AQ7&lt;13,"　　　","")&amp;IF(AQ7&lt;16,"　　　","")&amp;IF(AQ7&lt;19,"　　　","")&amp;IF(AQ7&lt;22,"　　　","")&amp;IF(AQ7&lt;25,"　　　","")&amp;"　　　　"</f>
        <v>　　　　　　　　　　　　　　　　　　　</v>
      </c>
    </row>
    <row r="9" spans="1:43" ht="18.600000000000001" customHeight="1" x14ac:dyDescent="0.15">
      <c r="A9" s="164" t="str">
        <f>IF(AQ6="個人","",IF(AQ6="法人",AQ8&amp;"その代表者の氏名　"&amp;AQ10&amp;"　　印"))</f>
        <v>　　　　　　　　　　　　　　　　　　　その代表者の氏名　□□　□□　　印</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Q9" s="2" t="str">
        <f>IF(入力!D5="",様式14!$AQ$5&amp;様式14!$AR$5&amp;ROW(入力!D5)&amp;" 未入力",入力!D5)</f>
        <v>○○株式会社</v>
      </c>
    </row>
    <row r="10" spans="1:43" ht="18.600000000000001" customHeight="1" x14ac:dyDescent="0.15">
      <c r="AQ10" s="2" t="str">
        <f>IF(AQ6="個人","",IF(入力!D6="",様式14!$AQ$5&amp;様式14!$AR$5&amp;ROW(入力!D6)&amp;" 未入力",入力!D6))</f>
        <v>□□　□□</v>
      </c>
    </row>
    <row r="11" spans="1:43" ht="18.600000000000001" customHeight="1" x14ac:dyDescent="0.15"/>
    <row r="12" spans="1:43" ht="18.600000000000001" customHeight="1" x14ac:dyDescent="0.15">
      <c r="A12" s="164" t="s">
        <v>155</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row>
    <row r="13" spans="1:43" ht="18.600000000000001" customHeight="1" x14ac:dyDescent="0.15">
      <c r="A13" s="276" t="s">
        <v>156</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Q13" s="2" t="str">
        <f>IF(入力!D9="",様式14!$AQ$5&amp;様式14!$AR$5&amp;ROW(入力!D9)&amp;" 未入力",入力!D9)</f>
        <v>同じ</v>
      </c>
    </row>
    <row r="14" spans="1:43" ht="18.600000000000001" customHeight="1" x14ac:dyDescent="0.15">
      <c r="A14" s="164" t="str">
        <f>"事業所の名称："&amp;IF(AQ6="個人",IF(AQ13="同じ",AQ9,AQ14),AQ9&amp;"　"&amp;AQ14)</f>
        <v>事業所の名称：○○株式会社　</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Q14" s="2" t="str">
        <f>IF(AQ13="同じ","",IF(入力!D10="",様式14!$AQ$5&amp;様式14!$AR$5&amp;ROW(入力!D10)&amp;" 未入力",入力!D10))</f>
        <v/>
      </c>
    </row>
    <row r="15" spans="1:43" ht="18.600000000000001" customHeight="1" x14ac:dyDescent="0.15">
      <c r="A15" s="289" t="s">
        <v>157</v>
      </c>
      <c r="B15" s="289"/>
      <c r="C15" s="289"/>
      <c r="D15" s="289"/>
      <c r="E15" s="289"/>
      <c r="F15" s="289"/>
      <c r="G15" s="289"/>
      <c r="H15" s="289"/>
      <c r="I15" s="289"/>
      <c r="J15" s="289"/>
      <c r="K15" s="238" t="s">
        <v>158</v>
      </c>
      <c r="L15" s="239"/>
      <c r="M15" s="239"/>
      <c r="N15" s="239"/>
      <c r="O15" s="239"/>
      <c r="P15" s="239"/>
      <c r="Q15" s="239"/>
      <c r="R15" s="239"/>
      <c r="S15" s="239"/>
      <c r="T15" s="240"/>
      <c r="U15" s="238" t="s">
        <v>159</v>
      </c>
      <c r="V15" s="239"/>
      <c r="W15" s="239"/>
      <c r="X15" s="239"/>
      <c r="Y15" s="239"/>
      <c r="Z15" s="239"/>
      <c r="AA15" s="239"/>
      <c r="AB15" s="239"/>
      <c r="AC15" s="239"/>
      <c r="AD15" s="240"/>
      <c r="AE15" s="289" t="s">
        <v>160</v>
      </c>
      <c r="AF15" s="289"/>
      <c r="AG15" s="289"/>
      <c r="AH15" s="289"/>
      <c r="AI15" s="289"/>
      <c r="AJ15" s="289"/>
      <c r="AK15" s="289"/>
      <c r="AL15" s="289"/>
      <c r="AM15" s="289" t="s">
        <v>161</v>
      </c>
      <c r="AN15" s="289"/>
      <c r="AO15" s="289"/>
    </row>
    <row r="16" spans="1:43" ht="21.95" customHeight="1" x14ac:dyDescent="0.15">
      <c r="A16" s="278"/>
      <c r="B16" s="278"/>
      <c r="C16" s="278"/>
      <c r="D16" s="278"/>
      <c r="E16" s="278"/>
      <c r="F16" s="278"/>
      <c r="G16" s="278"/>
      <c r="H16" s="278"/>
      <c r="I16" s="278"/>
      <c r="J16" s="278"/>
      <c r="K16" s="364"/>
      <c r="L16" s="360"/>
      <c r="M16" s="360"/>
      <c r="N16" s="360"/>
      <c r="O16" s="360"/>
      <c r="P16" s="360"/>
      <c r="Q16" s="360"/>
      <c r="R16" s="360"/>
      <c r="S16" s="360"/>
      <c r="T16" s="361"/>
      <c r="U16" s="365"/>
      <c r="V16" s="360"/>
      <c r="W16" s="360"/>
      <c r="X16" s="360"/>
      <c r="Y16" s="360"/>
      <c r="Z16" s="360"/>
      <c r="AA16" s="360"/>
      <c r="AB16" s="360"/>
      <c r="AC16" s="360"/>
      <c r="AD16" s="361"/>
      <c r="AE16" s="363"/>
      <c r="AF16" s="363"/>
      <c r="AG16" s="363"/>
      <c r="AH16" s="363"/>
      <c r="AI16" s="363"/>
      <c r="AJ16" s="363"/>
      <c r="AK16" s="363"/>
      <c r="AL16" s="363"/>
      <c r="AM16" s="362"/>
      <c r="AN16" s="362"/>
      <c r="AO16" s="362"/>
    </row>
    <row r="17" spans="1:41" ht="21.95" customHeight="1" x14ac:dyDescent="0.15">
      <c r="A17" s="278"/>
      <c r="B17" s="278"/>
      <c r="C17" s="278"/>
      <c r="D17" s="278"/>
      <c r="E17" s="278"/>
      <c r="F17" s="278"/>
      <c r="G17" s="278"/>
      <c r="H17" s="278"/>
      <c r="I17" s="278"/>
      <c r="J17" s="278"/>
      <c r="K17" s="359"/>
      <c r="L17" s="360"/>
      <c r="M17" s="360"/>
      <c r="N17" s="360"/>
      <c r="O17" s="360"/>
      <c r="P17" s="360"/>
      <c r="Q17" s="360"/>
      <c r="R17" s="360"/>
      <c r="S17" s="360"/>
      <c r="T17" s="361"/>
      <c r="U17" s="359"/>
      <c r="V17" s="360"/>
      <c r="W17" s="360"/>
      <c r="X17" s="360"/>
      <c r="Y17" s="360"/>
      <c r="Z17" s="360"/>
      <c r="AA17" s="360"/>
      <c r="AB17" s="360"/>
      <c r="AC17" s="360"/>
      <c r="AD17" s="361"/>
      <c r="AE17" s="363"/>
      <c r="AF17" s="363"/>
      <c r="AG17" s="363"/>
      <c r="AH17" s="363"/>
      <c r="AI17" s="363"/>
      <c r="AJ17" s="363"/>
      <c r="AK17" s="363"/>
      <c r="AL17" s="363"/>
      <c r="AM17" s="362"/>
      <c r="AN17" s="362"/>
      <c r="AO17" s="362"/>
    </row>
    <row r="18" spans="1:41" ht="21.95" customHeight="1" x14ac:dyDescent="0.15">
      <c r="A18" s="278"/>
      <c r="B18" s="278"/>
      <c r="C18" s="278"/>
      <c r="D18" s="278"/>
      <c r="E18" s="278"/>
      <c r="F18" s="278"/>
      <c r="G18" s="278"/>
      <c r="H18" s="278"/>
      <c r="I18" s="278"/>
      <c r="J18" s="278"/>
      <c r="K18" s="364"/>
      <c r="L18" s="360"/>
      <c r="M18" s="360"/>
      <c r="N18" s="360"/>
      <c r="O18" s="360"/>
      <c r="P18" s="360"/>
      <c r="Q18" s="360"/>
      <c r="R18" s="360"/>
      <c r="S18" s="360"/>
      <c r="T18" s="361"/>
      <c r="U18" s="365"/>
      <c r="V18" s="360"/>
      <c r="W18" s="360"/>
      <c r="X18" s="360"/>
      <c r="Y18" s="360"/>
      <c r="Z18" s="360"/>
      <c r="AA18" s="360"/>
      <c r="AB18" s="360"/>
      <c r="AC18" s="360"/>
      <c r="AD18" s="361"/>
      <c r="AE18" s="363"/>
      <c r="AF18" s="363"/>
      <c r="AG18" s="363"/>
      <c r="AH18" s="363"/>
      <c r="AI18" s="363"/>
      <c r="AJ18" s="363"/>
      <c r="AK18" s="363"/>
      <c r="AL18" s="363"/>
      <c r="AM18" s="362"/>
      <c r="AN18" s="362"/>
      <c r="AO18" s="362"/>
    </row>
    <row r="19" spans="1:41" ht="21.95" customHeight="1" x14ac:dyDescent="0.15">
      <c r="A19" s="278"/>
      <c r="B19" s="278"/>
      <c r="C19" s="278"/>
      <c r="D19" s="278"/>
      <c r="E19" s="278"/>
      <c r="F19" s="278"/>
      <c r="G19" s="278"/>
      <c r="H19" s="278"/>
      <c r="I19" s="278"/>
      <c r="J19" s="278"/>
      <c r="K19" s="359"/>
      <c r="L19" s="360"/>
      <c r="M19" s="360"/>
      <c r="N19" s="360"/>
      <c r="O19" s="360"/>
      <c r="P19" s="360"/>
      <c r="Q19" s="360"/>
      <c r="R19" s="360"/>
      <c r="S19" s="360"/>
      <c r="T19" s="361"/>
      <c r="U19" s="359"/>
      <c r="V19" s="360"/>
      <c r="W19" s="360"/>
      <c r="X19" s="360"/>
      <c r="Y19" s="360"/>
      <c r="Z19" s="360"/>
      <c r="AA19" s="360"/>
      <c r="AB19" s="360"/>
      <c r="AC19" s="360"/>
      <c r="AD19" s="361"/>
      <c r="AE19" s="363"/>
      <c r="AF19" s="363"/>
      <c r="AG19" s="363"/>
      <c r="AH19" s="363"/>
      <c r="AI19" s="363"/>
      <c r="AJ19" s="363"/>
      <c r="AK19" s="363"/>
      <c r="AL19" s="363"/>
      <c r="AM19" s="362"/>
      <c r="AN19" s="362"/>
      <c r="AO19" s="362"/>
    </row>
    <row r="20" spans="1:41" ht="21.95" customHeight="1" x14ac:dyDescent="0.15">
      <c r="A20" s="278"/>
      <c r="B20" s="278"/>
      <c r="C20" s="278"/>
      <c r="D20" s="278"/>
      <c r="E20" s="278"/>
      <c r="F20" s="278"/>
      <c r="G20" s="278"/>
      <c r="H20" s="278"/>
      <c r="I20" s="278"/>
      <c r="J20" s="278"/>
      <c r="K20" s="359"/>
      <c r="L20" s="360"/>
      <c r="M20" s="360"/>
      <c r="N20" s="360"/>
      <c r="O20" s="360"/>
      <c r="P20" s="360"/>
      <c r="Q20" s="360"/>
      <c r="R20" s="360"/>
      <c r="S20" s="360"/>
      <c r="T20" s="361"/>
      <c r="U20" s="359"/>
      <c r="V20" s="360"/>
      <c r="W20" s="360"/>
      <c r="X20" s="360"/>
      <c r="Y20" s="360"/>
      <c r="Z20" s="360"/>
      <c r="AA20" s="360"/>
      <c r="AB20" s="360"/>
      <c r="AC20" s="360"/>
      <c r="AD20" s="361"/>
      <c r="AE20" s="363"/>
      <c r="AF20" s="363"/>
      <c r="AG20" s="363"/>
      <c r="AH20" s="363"/>
      <c r="AI20" s="363"/>
      <c r="AJ20" s="363"/>
      <c r="AK20" s="363"/>
      <c r="AL20" s="363"/>
      <c r="AM20" s="362"/>
      <c r="AN20" s="362"/>
      <c r="AO20" s="362"/>
    </row>
    <row r="21" spans="1:41" ht="21.95" customHeight="1" x14ac:dyDescent="0.15">
      <c r="A21" s="278"/>
      <c r="B21" s="278"/>
      <c r="C21" s="278"/>
      <c r="D21" s="278"/>
      <c r="E21" s="278"/>
      <c r="F21" s="278"/>
      <c r="G21" s="278"/>
      <c r="H21" s="278"/>
      <c r="I21" s="278"/>
      <c r="J21" s="278"/>
      <c r="K21" s="359"/>
      <c r="L21" s="360"/>
      <c r="M21" s="360"/>
      <c r="N21" s="360"/>
      <c r="O21" s="360"/>
      <c r="P21" s="360"/>
      <c r="Q21" s="360"/>
      <c r="R21" s="360"/>
      <c r="S21" s="360"/>
      <c r="T21" s="361"/>
      <c r="U21" s="359"/>
      <c r="V21" s="360"/>
      <c r="W21" s="360"/>
      <c r="X21" s="360"/>
      <c r="Y21" s="360"/>
      <c r="Z21" s="360"/>
      <c r="AA21" s="360"/>
      <c r="AB21" s="360"/>
      <c r="AC21" s="360"/>
      <c r="AD21" s="361"/>
      <c r="AE21" s="363"/>
      <c r="AF21" s="363"/>
      <c r="AG21" s="363"/>
      <c r="AH21" s="363"/>
      <c r="AI21" s="363"/>
      <c r="AJ21" s="363"/>
      <c r="AK21" s="363"/>
      <c r="AL21" s="363"/>
      <c r="AM21" s="362"/>
      <c r="AN21" s="362"/>
      <c r="AO21" s="362"/>
    </row>
    <row r="22" spans="1:41" ht="21.95" customHeight="1" x14ac:dyDescent="0.15">
      <c r="A22" s="278"/>
      <c r="B22" s="278"/>
      <c r="C22" s="278"/>
      <c r="D22" s="278"/>
      <c r="E22" s="278"/>
      <c r="F22" s="278"/>
      <c r="G22" s="278"/>
      <c r="H22" s="278"/>
      <c r="I22" s="278"/>
      <c r="J22" s="278"/>
      <c r="K22" s="359"/>
      <c r="L22" s="360"/>
      <c r="M22" s="360"/>
      <c r="N22" s="360"/>
      <c r="O22" s="360"/>
      <c r="P22" s="360"/>
      <c r="Q22" s="360"/>
      <c r="R22" s="360"/>
      <c r="S22" s="360"/>
      <c r="T22" s="361"/>
      <c r="U22" s="359"/>
      <c r="V22" s="360"/>
      <c r="W22" s="360"/>
      <c r="X22" s="360"/>
      <c r="Y22" s="360"/>
      <c r="Z22" s="360"/>
      <c r="AA22" s="360"/>
      <c r="AB22" s="360"/>
      <c r="AC22" s="360"/>
      <c r="AD22" s="361"/>
      <c r="AE22" s="363"/>
      <c r="AF22" s="363"/>
      <c r="AG22" s="363"/>
      <c r="AH22" s="363"/>
      <c r="AI22" s="363"/>
      <c r="AJ22" s="363"/>
      <c r="AK22" s="363"/>
      <c r="AL22" s="363"/>
      <c r="AM22" s="362"/>
      <c r="AN22" s="362"/>
      <c r="AO22" s="362"/>
    </row>
    <row r="23" spans="1:41" ht="21.95" customHeight="1" x14ac:dyDescent="0.15">
      <c r="A23" s="278"/>
      <c r="B23" s="278"/>
      <c r="C23" s="278"/>
      <c r="D23" s="278"/>
      <c r="E23" s="278"/>
      <c r="F23" s="278"/>
      <c r="G23" s="278"/>
      <c r="H23" s="278"/>
      <c r="I23" s="278"/>
      <c r="J23" s="278"/>
      <c r="K23" s="359"/>
      <c r="L23" s="360"/>
      <c r="M23" s="360"/>
      <c r="N23" s="360"/>
      <c r="O23" s="360"/>
      <c r="P23" s="360"/>
      <c r="Q23" s="360"/>
      <c r="R23" s="360"/>
      <c r="S23" s="360"/>
      <c r="T23" s="361"/>
      <c r="U23" s="359"/>
      <c r="V23" s="360"/>
      <c r="W23" s="360"/>
      <c r="X23" s="360"/>
      <c r="Y23" s="360"/>
      <c r="Z23" s="360"/>
      <c r="AA23" s="360"/>
      <c r="AB23" s="360"/>
      <c r="AC23" s="360"/>
      <c r="AD23" s="361"/>
      <c r="AE23" s="363"/>
      <c r="AF23" s="363"/>
      <c r="AG23" s="363"/>
      <c r="AH23" s="363"/>
      <c r="AI23" s="363"/>
      <c r="AJ23" s="363"/>
      <c r="AK23" s="363"/>
      <c r="AL23" s="363"/>
      <c r="AM23" s="362"/>
      <c r="AN23" s="362"/>
      <c r="AO23" s="362"/>
    </row>
    <row r="24" spans="1:41" ht="21.95" customHeight="1" x14ac:dyDescent="0.15">
      <c r="A24" s="278"/>
      <c r="B24" s="278"/>
      <c r="C24" s="278"/>
      <c r="D24" s="278"/>
      <c r="E24" s="278"/>
      <c r="F24" s="278"/>
      <c r="G24" s="278"/>
      <c r="H24" s="278"/>
      <c r="I24" s="278"/>
      <c r="J24" s="278"/>
      <c r="K24" s="359"/>
      <c r="L24" s="360"/>
      <c r="M24" s="360"/>
      <c r="N24" s="360"/>
      <c r="O24" s="360"/>
      <c r="P24" s="360"/>
      <c r="Q24" s="360"/>
      <c r="R24" s="360"/>
      <c r="S24" s="360"/>
      <c r="T24" s="361"/>
      <c r="U24" s="359"/>
      <c r="V24" s="360"/>
      <c r="W24" s="360"/>
      <c r="X24" s="360"/>
      <c r="Y24" s="360"/>
      <c r="Z24" s="360"/>
      <c r="AA24" s="360"/>
      <c r="AB24" s="360"/>
      <c r="AC24" s="360"/>
      <c r="AD24" s="361"/>
      <c r="AE24" s="363"/>
      <c r="AF24" s="363"/>
      <c r="AG24" s="363"/>
      <c r="AH24" s="363"/>
      <c r="AI24" s="363"/>
      <c r="AJ24" s="363"/>
      <c r="AK24" s="363"/>
      <c r="AL24" s="363"/>
      <c r="AM24" s="362"/>
      <c r="AN24" s="362"/>
      <c r="AO24" s="362"/>
    </row>
    <row r="25" spans="1:41" ht="21.95" customHeight="1" x14ac:dyDescent="0.15">
      <c r="A25" s="278"/>
      <c r="B25" s="278"/>
      <c r="C25" s="278"/>
      <c r="D25" s="278"/>
      <c r="E25" s="278"/>
      <c r="F25" s="278"/>
      <c r="G25" s="278"/>
      <c r="H25" s="278"/>
      <c r="I25" s="278"/>
      <c r="J25" s="278"/>
      <c r="K25" s="359"/>
      <c r="L25" s="360"/>
      <c r="M25" s="360"/>
      <c r="N25" s="360"/>
      <c r="O25" s="360"/>
      <c r="P25" s="360"/>
      <c r="Q25" s="360"/>
      <c r="R25" s="360"/>
      <c r="S25" s="360"/>
      <c r="T25" s="361"/>
      <c r="U25" s="359"/>
      <c r="V25" s="360"/>
      <c r="W25" s="360"/>
      <c r="X25" s="360"/>
      <c r="Y25" s="360"/>
      <c r="Z25" s="360"/>
      <c r="AA25" s="360"/>
      <c r="AB25" s="360"/>
      <c r="AC25" s="360"/>
      <c r="AD25" s="361"/>
      <c r="AE25" s="363"/>
      <c r="AF25" s="363"/>
      <c r="AG25" s="363"/>
      <c r="AH25" s="363"/>
      <c r="AI25" s="363"/>
      <c r="AJ25" s="363"/>
      <c r="AK25" s="363"/>
      <c r="AL25" s="363"/>
      <c r="AM25" s="362"/>
      <c r="AN25" s="362"/>
      <c r="AO25" s="362"/>
    </row>
    <row r="26" spans="1:41" ht="21.95" customHeight="1" x14ac:dyDescent="0.15">
      <c r="A26" s="278"/>
      <c r="B26" s="278"/>
      <c r="C26" s="278"/>
      <c r="D26" s="278"/>
      <c r="E26" s="278"/>
      <c r="F26" s="278"/>
      <c r="G26" s="278"/>
      <c r="H26" s="278"/>
      <c r="I26" s="278"/>
      <c r="J26" s="278"/>
      <c r="K26" s="359"/>
      <c r="L26" s="360"/>
      <c r="M26" s="360"/>
      <c r="N26" s="360"/>
      <c r="O26" s="360"/>
      <c r="P26" s="360"/>
      <c r="Q26" s="360"/>
      <c r="R26" s="360"/>
      <c r="S26" s="360"/>
      <c r="T26" s="361"/>
      <c r="U26" s="359"/>
      <c r="V26" s="360"/>
      <c r="W26" s="360"/>
      <c r="X26" s="360"/>
      <c r="Y26" s="360"/>
      <c r="Z26" s="360"/>
      <c r="AA26" s="360"/>
      <c r="AB26" s="360"/>
      <c r="AC26" s="360"/>
      <c r="AD26" s="361"/>
      <c r="AE26" s="363"/>
      <c r="AF26" s="363"/>
      <c r="AG26" s="363"/>
      <c r="AH26" s="363"/>
      <c r="AI26" s="363"/>
      <c r="AJ26" s="363"/>
      <c r="AK26" s="363"/>
      <c r="AL26" s="363"/>
      <c r="AM26" s="362"/>
      <c r="AN26" s="362"/>
      <c r="AO26" s="362"/>
    </row>
    <row r="27" spans="1:41" ht="21.95" customHeight="1" x14ac:dyDescent="0.15">
      <c r="A27" s="278"/>
      <c r="B27" s="278"/>
      <c r="C27" s="278"/>
      <c r="D27" s="278"/>
      <c r="E27" s="278"/>
      <c r="F27" s="278"/>
      <c r="G27" s="278"/>
      <c r="H27" s="278"/>
      <c r="I27" s="278"/>
      <c r="J27" s="278"/>
      <c r="K27" s="359"/>
      <c r="L27" s="360"/>
      <c r="M27" s="360"/>
      <c r="N27" s="360"/>
      <c r="O27" s="360"/>
      <c r="P27" s="360"/>
      <c r="Q27" s="360"/>
      <c r="R27" s="360"/>
      <c r="S27" s="360"/>
      <c r="T27" s="361"/>
      <c r="U27" s="359"/>
      <c r="V27" s="360"/>
      <c r="W27" s="360"/>
      <c r="X27" s="360"/>
      <c r="Y27" s="360"/>
      <c r="Z27" s="360"/>
      <c r="AA27" s="360"/>
      <c r="AB27" s="360"/>
      <c r="AC27" s="360"/>
      <c r="AD27" s="361"/>
      <c r="AE27" s="363"/>
      <c r="AF27" s="363"/>
      <c r="AG27" s="363"/>
      <c r="AH27" s="363"/>
      <c r="AI27" s="363"/>
      <c r="AJ27" s="363"/>
      <c r="AK27" s="363"/>
      <c r="AL27" s="363"/>
      <c r="AM27" s="362"/>
      <c r="AN27" s="362"/>
      <c r="AO27" s="362"/>
    </row>
    <row r="28" spans="1:41" ht="21.95" customHeight="1" x14ac:dyDescent="0.15">
      <c r="A28" s="278"/>
      <c r="B28" s="278"/>
      <c r="C28" s="278"/>
      <c r="D28" s="278"/>
      <c r="E28" s="278"/>
      <c r="F28" s="278"/>
      <c r="G28" s="278"/>
      <c r="H28" s="278"/>
      <c r="I28" s="278"/>
      <c r="J28" s="278"/>
      <c r="K28" s="359"/>
      <c r="L28" s="360"/>
      <c r="M28" s="360"/>
      <c r="N28" s="360"/>
      <c r="O28" s="360"/>
      <c r="P28" s="360"/>
      <c r="Q28" s="360"/>
      <c r="R28" s="360"/>
      <c r="S28" s="360"/>
      <c r="T28" s="361"/>
      <c r="U28" s="359"/>
      <c r="V28" s="360"/>
      <c r="W28" s="360"/>
      <c r="X28" s="360"/>
      <c r="Y28" s="360"/>
      <c r="Z28" s="360"/>
      <c r="AA28" s="360"/>
      <c r="AB28" s="360"/>
      <c r="AC28" s="360"/>
      <c r="AD28" s="361"/>
      <c r="AE28" s="363"/>
      <c r="AF28" s="363"/>
      <c r="AG28" s="363"/>
      <c r="AH28" s="363"/>
      <c r="AI28" s="363"/>
      <c r="AJ28" s="363"/>
      <c r="AK28" s="363"/>
      <c r="AL28" s="363"/>
      <c r="AM28" s="362"/>
      <c r="AN28" s="362"/>
      <c r="AO28" s="362"/>
    </row>
    <row r="29" spans="1:41" ht="21.95" customHeight="1" x14ac:dyDescent="0.15">
      <c r="A29" s="278"/>
      <c r="B29" s="278"/>
      <c r="C29" s="278"/>
      <c r="D29" s="278"/>
      <c r="E29" s="278"/>
      <c r="F29" s="278"/>
      <c r="G29" s="278"/>
      <c r="H29" s="278"/>
      <c r="I29" s="278"/>
      <c r="J29" s="278"/>
      <c r="K29" s="359"/>
      <c r="L29" s="360"/>
      <c r="M29" s="360"/>
      <c r="N29" s="360"/>
      <c r="O29" s="360"/>
      <c r="P29" s="360"/>
      <c r="Q29" s="360"/>
      <c r="R29" s="360"/>
      <c r="S29" s="360"/>
      <c r="T29" s="361"/>
      <c r="U29" s="359"/>
      <c r="V29" s="360"/>
      <c r="W29" s="360"/>
      <c r="X29" s="360"/>
      <c r="Y29" s="360"/>
      <c r="Z29" s="360"/>
      <c r="AA29" s="360"/>
      <c r="AB29" s="360"/>
      <c r="AC29" s="360"/>
      <c r="AD29" s="361"/>
      <c r="AE29" s="363"/>
      <c r="AF29" s="363"/>
      <c r="AG29" s="363"/>
      <c r="AH29" s="363"/>
      <c r="AI29" s="363"/>
      <c r="AJ29" s="363"/>
      <c r="AK29" s="363"/>
      <c r="AL29" s="363"/>
      <c r="AM29" s="362"/>
      <c r="AN29" s="362"/>
      <c r="AO29" s="362"/>
    </row>
    <row r="30" spans="1:41" ht="21.95" customHeight="1" x14ac:dyDescent="0.15">
      <c r="A30" s="278"/>
      <c r="B30" s="278"/>
      <c r="C30" s="278"/>
      <c r="D30" s="278"/>
      <c r="E30" s="278"/>
      <c r="F30" s="278"/>
      <c r="G30" s="278"/>
      <c r="H30" s="278"/>
      <c r="I30" s="278"/>
      <c r="J30" s="278"/>
      <c r="K30" s="359"/>
      <c r="L30" s="360"/>
      <c r="M30" s="360"/>
      <c r="N30" s="360"/>
      <c r="O30" s="360"/>
      <c r="P30" s="360"/>
      <c r="Q30" s="360"/>
      <c r="R30" s="360"/>
      <c r="S30" s="360"/>
      <c r="T30" s="361"/>
      <c r="U30" s="359"/>
      <c r="V30" s="360"/>
      <c r="W30" s="360"/>
      <c r="X30" s="360"/>
      <c r="Y30" s="360"/>
      <c r="Z30" s="360"/>
      <c r="AA30" s="360"/>
      <c r="AB30" s="360"/>
      <c r="AC30" s="360"/>
      <c r="AD30" s="361"/>
      <c r="AE30" s="363"/>
      <c r="AF30" s="363"/>
      <c r="AG30" s="363"/>
      <c r="AH30" s="363"/>
      <c r="AI30" s="363"/>
      <c r="AJ30" s="363"/>
      <c r="AK30" s="363"/>
      <c r="AL30" s="363"/>
      <c r="AM30" s="362"/>
      <c r="AN30" s="362"/>
      <c r="AO30" s="362"/>
    </row>
    <row r="31" spans="1:41" ht="21.95" customHeight="1" x14ac:dyDescent="0.15">
      <c r="A31" s="278"/>
      <c r="B31" s="278"/>
      <c r="C31" s="278"/>
      <c r="D31" s="278"/>
      <c r="E31" s="278"/>
      <c r="F31" s="278"/>
      <c r="G31" s="278"/>
      <c r="H31" s="278"/>
      <c r="I31" s="278"/>
      <c r="J31" s="278"/>
      <c r="K31" s="359"/>
      <c r="L31" s="360"/>
      <c r="M31" s="360"/>
      <c r="N31" s="360"/>
      <c r="O31" s="360"/>
      <c r="P31" s="360"/>
      <c r="Q31" s="360"/>
      <c r="R31" s="360"/>
      <c r="S31" s="360"/>
      <c r="T31" s="361"/>
      <c r="U31" s="359"/>
      <c r="V31" s="360"/>
      <c r="W31" s="360"/>
      <c r="X31" s="360"/>
      <c r="Y31" s="360"/>
      <c r="Z31" s="360"/>
      <c r="AA31" s="360"/>
      <c r="AB31" s="360"/>
      <c r="AC31" s="360"/>
      <c r="AD31" s="361"/>
      <c r="AE31" s="363"/>
      <c r="AF31" s="363"/>
      <c r="AG31" s="363"/>
      <c r="AH31" s="363"/>
      <c r="AI31" s="363"/>
      <c r="AJ31" s="363"/>
      <c r="AK31" s="363"/>
      <c r="AL31" s="363"/>
      <c r="AM31" s="362"/>
      <c r="AN31" s="362"/>
      <c r="AO31" s="362"/>
    </row>
    <row r="32" spans="1:41" ht="21.95" customHeight="1" x14ac:dyDescent="0.15">
      <c r="A32" s="278"/>
      <c r="B32" s="278"/>
      <c r="C32" s="278"/>
      <c r="D32" s="278"/>
      <c r="E32" s="278"/>
      <c r="F32" s="278"/>
      <c r="G32" s="278"/>
      <c r="H32" s="278"/>
      <c r="I32" s="278"/>
      <c r="J32" s="278"/>
      <c r="K32" s="359"/>
      <c r="L32" s="360"/>
      <c r="M32" s="360"/>
      <c r="N32" s="360"/>
      <c r="O32" s="360"/>
      <c r="P32" s="360"/>
      <c r="Q32" s="360"/>
      <c r="R32" s="360"/>
      <c r="S32" s="360"/>
      <c r="T32" s="361"/>
      <c r="U32" s="359"/>
      <c r="V32" s="360"/>
      <c r="W32" s="360"/>
      <c r="X32" s="360"/>
      <c r="Y32" s="360"/>
      <c r="Z32" s="360"/>
      <c r="AA32" s="360"/>
      <c r="AB32" s="360"/>
      <c r="AC32" s="360"/>
      <c r="AD32" s="361"/>
      <c r="AE32" s="363"/>
      <c r="AF32" s="363"/>
      <c r="AG32" s="363"/>
      <c r="AH32" s="363"/>
      <c r="AI32" s="363"/>
      <c r="AJ32" s="363"/>
      <c r="AK32" s="363"/>
      <c r="AL32" s="363"/>
      <c r="AM32" s="362"/>
      <c r="AN32" s="362"/>
      <c r="AO32" s="362"/>
    </row>
    <row r="33" spans="1:41" ht="21.95" customHeight="1" x14ac:dyDescent="0.15">
      <c r="A33" s="278"/>
      <c r="B33" s="278"/>
      <c r="C33" s="278"/>
      <c r="D33" s="278"/>
      <c r="E33" s="278"/>
      <c r="F33" s="278"/>
      <c r="G33" s="278"/>
      <c r="H33" s="278"/>
      <c r="I33" s="278"/>
      <c r="J33" s="278"/>
      <c r="K33" s="359"/>
      <c r="L33" s="360"/>
      <c r="M33" s="360"/>
      <c r="N33" s="360"/>
      <c r="O33" s="360"/>
      <c r="P33" s="360"/>
      <c r="Q33" s="360"/>
      <c r="R33" s="360"/>
      <c r="S33" s="360"/>
      <c r="T33" s="361"/>
      <c r="U33" s="359"/>
      <c r="V33" s="360"/>
      <c r="W33" s="360"/>
      <c r="X33" s="360"/>
      <c r="Y33" s="360"/>
      <c r="Z33" s="360"/>
      <c r="AA33" s="360"/>
      <c r="AB33" s="360"/>
      <c r="AC33" s="360"/>
      <c r="AD33" s="361"/>
      <c r="AE33" s="363"/>
      <c r="AF33" s="363"/>
      <c r="AG33" s="363"/>
      <c r="AH33" s="363"/>
      <c r="AI33" s="363"/>
      <c r="AJ33" s="363"/>
      <c r="AK33" s="363"/>
      <c r="AL33" s="363"/>
      <c r="AM33" s="362"/>
      <c r="AN33" s="362"/>
      <c r="AO33" s="362"/>
    </row>
    <row r="34" spans="1:41" ht="15" customHeight="1" x14ac:dyDescent="0.15">
      <c r="A34" s="164" t="s">
        <v>212</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row>
    <row r="35" spans="1:41" ht="15" customHeight="1" x14ac:dyDescent="0.15">
      <c r="A35" s="164" t="s">
        <v>162</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row>
    <row r="36" spans="1:41" ht="15" customHeight="1" x14ac:dyDescent="0.15">
      <c r="A36" s="164" t="s">
        <v>163</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row>
    <row r="37" spans="1:41" ht="15" customHeight="1" x14ac:dyDescent="0.15">
      <c r="A37" s="164" t="s">
        <v>164</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row>
    <row r="38" spans="1:41" ht="15" customHeight="1" x14ac:dyDescent="0.15">
      <c r="A38" s="164" t="s">
        <v>165</v>
      </c>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row>
    <row r="39" spans="1:41" ht="15" customHeight="1" x14ac:dyDescent="0.15">
      <c r="A39" s="164" t="s">
        <v>166</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row>
    <row r="40" spans="1:41" ht="15" customHeight="1" x14ac:dyDescent="0.15">
      <c r="A40" s="164" t="s">
        <v>167</v>
      </c>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row>
    <row r="41" spans="1:41" ht="18.600000000000001" customHeight="1" x14ac:dyDescent="0.15"/>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row r="59" ht="18.600000000000001" customHeight="1" x14ac:dyDescent="0.15"/>
    <row r="60" ht="18.600000000000001" customHeight="1" x14ac:dyDescent="0.15"/>
    <row r="61" ht="18.600000000000001" customHeight="1" x14ac:dyDescent="0.15"/>
    <row r="62" ht="18.600000000000001" customHeight="1" x14ac:dyDescent="0.15"/>
  </sheetData>
  <sheetProtection sheet="1" objects="1" scenarios="1" formatRows="0" insertRows="0"/>
  <mergeCells count="110">
    <mergeCell ref="J1:AO1"/>
    <mergeCell ref="AM21:AO21"/>
    <mergeCell ref="AE17:AL17"/>
    <mergeCell ref="AM17:AO17"/>
    <mergeCell ref="AE16:AL16"/>
    <mergeCell ref="AM16:AO16"/>
    <mergeCell ref="K33:T33"/>
    <mergeCell ref="U33:AD33"/>
    <mergeCell ref="K24:T24"/>
    <mergeCell ref="U24:AD24"/>
    <mergeCell ref="K25:T25"/>
    <mergeCell ref="U25:AD25"/>
    <mergeCell ref="K26:T26"/>
    <mergeCell ref="U26:AD26"/>
    <mergeCell ref="K21:T21"/>
    <mergeCell ref="U21:AD21"/>
    <mergeCell ref="K22:T22"/>
    <mergeCell ref="U22:AD22"/>
    <mergeCell ref="K23:T23"/>
    <mergeCell ref="U23:AD23"/>
    <mergeCell ref="AE26:AL26"/>
    <mergeCell ref="AM26:AO26"/>
    <mergeCell ref="AM33:AO33"/>
    <mergeCell ref="AE24:AL24"/>
    <mergeCell ref="K17:T17"/>
    <mergeCell ref="U17:AD17"/>
    <mergeCell ref="K18:T18"/>
    <mergeCell ref="U18:AD18"/>
    <mergeCell ref="K19:T19"/>
    <mergeCell ref="A17:J17"/>
    <mergeCell ref="AE23:AL23"/>
    <mergeCell ref="AM19:AO19"/>
    <mergeCell ref="A20:J20"/>
    <mergeCell ref="AE20:AL20"/>
    <mergeCell ref="AM20:AO20"/>
    <mergeCell ref="U19:AD19"/>
    <mergeCell ref="K20:T20"/>
    <mergeCell ref="U20:AD20"/>
    <mergeCell ref="A36:AO36"/>
    <mergeCell ref="A37:AO37"/>
    <mergeCell ref="A39:AO39"/>
    <mergeCell ref="A40:AO40"/>
    <mergeCell ref="A15:J15"/>
    <mergeCell ref="AE15:AL15"/>
    <mergeCell ref="AM15:AO15"/>
    <mergeCell ref="A16:J16"/>
    <mergeCell ref="A33:J33"/>
    <mergeCell ref="AE33:AL33"/>
    <mergeCell ref="A31:J31"/>
    <mergeCell ref="AE31:AL31"/>
    <mergeCell ref="A29:J29"/>
    <mergeCell ref="AE29:AL29"/>
    <mergeCell ref="A27:J27"/>
    <mergeCell ref="AE27:AL27"/>
    <mergeCell ref="A25:J25"/>
    <mergeCell ref="AE25:AL25"/>
    <mergeCell ref="A21:J21"/>
    <mergeCell ref="AE21:AL21"/>
    <mergeCell ref="A19:J19"/>
    <mergeCell ref="AE19:AL19"/>
    <mergeCell ref="A24:J24"/>
    <mergeCell ref="A38:AO38"/>
    <mergeCell ref="A3:AO3"/>
    <mergeCell ref="A12:AO12"/>
    <mergeCell ref="A13:AO13"/>
    <mergeCell ref="A14:AO14"/>
    <mergeCell ref="A18:J18"/>
    <mergeCell ref="AE18:AL18"/>
    <mergeCell ref="AM18:AO18"/>
    <mergeCell ref="A35:AO35"/>
    <mergeCell ref="A22:J22"/>
    <mergeCell ref="AE22:AL22"/>
    <mergeCell ref="AM22:AO22"/>
    <mergeCell ref="AM31:AO31"/>
    <mergeCell ref="A32:J32"/>
    <mergeCell ref="AE32:AL32"/>
    <mergeCell ref="AM32:AO32"/>
    <mergeCell ref="K31:T31"/>
    <mergeCell ref="U31:AD31"/>
    <mergeCell ref="K32:T32"/>
    <mergeCell ref="U32:AD32"/>
    <mergeCell ref="AM29:AO29"/>
    <mergeCell ref="A30:J30"/>
    <mergeCell ref="AE30:AL30"/>
    <mergeCell ref="AM30:AO30"/>
    <mergeCell ref="A34:AO34"/>
    <mergeCell ref="A4:AN4"/>
    <mergeCell ref="A8:AO8"/>
    <mergeCell ref="A9:AO9"/>
    <mergeCell ref="K30:T30"/>
    <mergeCell ref="U30:AD30"/>
    <mergeCell ref="AM23:AO23"/>
    <mergeCell ref="U28:AD28"/>
    <mergeCell ref="AM25:AO25"/>
    <mergeCell ref="AM27:AO27"/>
    <mergeCell ref="A28:J28"/>
    <mergeCell ref="AE28:AL28"/>
    <mergeCell ref="AM28:AO28"/>
    <mergeCell ref="K27:T27"/>
    <mergeCell ref="U27:AD27"/>
    <mergeCell ref="K28:T28"/>
    <mergeCell ref="A23:J23"/>
    <mergeCell ref="K29:T29"/>
    <mergeCell ref="U29:AD29"/>
    <mergeCell ref="AM24:AO24"/>
    <mergeCell ref="A26:J26"/>
    <mergeCell ref="U15:AD15"/>
    <mergeCell ref="K15:T15"/>
    <mergeCell ref="K16:T16"/>
    <mergeCell ref="U16:AD16"/>
  </mergeCells>
  <phoneticPr fontId="1"/>
  <conditionalFormatting sqref="J1">
    <cfRule type="expression" dxfId="3" priority="1">
      <formula>$J$1="提出不要"</formula>
    </cfRule>
    <cfRule type="expression" dxfId="2" priority="5">
      <formula>J1="未入力あり"</formula>
    </cfRule>
  </conditionalFormatting>
  <conditionalFormatting sqref="AQ1:AQ100">
    <cfRule type="expression" dxfId="1" priority="3">
      <formula>FIND("未入力",AQ1)</formula>
    </cfRule>
    <cfRule type="expression" dxfId="0" priority="4">
      <formula>_xlfn.ISFORMULA(AQ1)</formula>
    </cfRule>
  </conditionalFormatting>
  <dataValidations count="2">
    <dataValidation imeMode="halfAlpha" allowBlank="1" showInputMessage="1" showErrorMessage="1" sqref="U16:AL33" xr:uid="{00000000-0002-0000-1200-000000000000}"/>
    <dataValidation type="list" allowBlank="1" showInputMessage="1" showErrorMessage="1" error="ドロップダウン リスト から選択" prompt="ドロップダウン リスト から選択" sqref="A16:J33" xr:uid="{00000000-0002-0000-1200-000001000000}">
      <formula1>"自記圧力計(機械式),自記圧力計(電気式),マノメータ,ガス検知器,漏えい検知液,緊急工具類,一酸化炭素測定器,ボーリングバー,別紙のとおり"</formula1>
    </dataValidation>
  </dataValidations>
  <pageMargins left="0.78740157480314965" right="0.70866141732283472" top="0.59055118110236227"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CFF"/>
    <pageSetUpPr fitToPage="1"/>
  </sheetPr>
  <dimension ref="A1:AK50"/>
  <sheetViews>
    <sheetView workbookViewId="0">
      <pane xSplit="2" ySplit="1" topLeftCell="C14" activePane="bottomRight" state="frozen"/>
      <selection pane="topRight" activeCell="C1" sqref="C1"/>
      <selection pane="bottomLeft" activeCell="A2" sqref="A2"/>
      <selection pane="bottomRight" activeCell="A3" sqref="A3"/>
    </sheetView>
  </sheetViews>
  <sheetFormatPr defaultColWidth="8.75" defaultRowHeight="13.5" x14ac:dyDescent="0.15"/>
  <cols>
    <col min="1" max="2" width="2.625" style="1" customWidth="1"/>
    <col min="3" max="39" width="2.125" style="1" customWidth="1"/>
    <col min="40" max="16384" width="8.75" style="1"/>
  </cols>
  <sheetData>
    <row r="1" spans="1:37" ht="18.600000000000001" customHeight="1" x14ac:dyDescent="0.15">
      <c r="A1" s="68" t="s">
        <v>0</v>
      </c>
      <c r="B1" s="68"/>
    </row>
    <row r="2" spans="1:37" ht="18.600000000000001" customHeight="1" x14ac:dyDescent="0.15">
      <c r="C2" s="68"/>
    </row>
    <row r="3" spans="1:37" ht="18.600000000000001" customHeight="1" x14ac:dyDescent="0.15">
      <c r="A3" s="98" t="s">
        <v>419</v>
      </c>
      <c r="C3" s="161" t="s">
        <v>415</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row>
    <row r="4" spans="1:37" ht="18.600000000000001" customHeight="1" x14ac:dyDescent="0.15">
      <c r="A4" s="98" t="s">
        <v>419</v>
      </c>
      <c r="C4" s="161" t="s">
        <v>518</v>
      </c>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row>
    <row r="5" spans="1:37" ht="18.600000000000001" customHeight="1" x14ac:dyDescent="0.15">
      <c r="A5" s="98" t="s">
        <v>414</v>
      </c>
      <c r="C5" s="161" t="s">
        <v>416</v>
      </c>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row>
    <row r="6" spans="1:37" ht="18.600000000000001" customHeight="1" x14ac:dyDescent="0.15">
      <c r="A6" s="98" t="s">
        <v>414</v>
      </c>
      <c r="B6" s="1" t="str">
        <f>IF(入力!$D$8=1,"","★")</f>
        <v/>
      </c>
      <c r="C6" s="161" t="s">
        <v>417</v>
      </c>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row>
    <row r="7" spans="1:37" ht="18.600000000000001" customHeight="1" x14ac:dyDescent="0.15">
      <c r="A7" s="98" t="s">
        <v>414</v>
      </c>
      <c r="C7" s="161" t="s">
        <v>418</v>
      </c>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row>
    <row r="8" spans="1:37" ht="18.600000000000001" customHeight="1" x14ac:dyDescent="0.15">
      <c r="A8" s="98" t="s">
        <v>419</v>
      </c>
      <c r="C8" s="161" t="s">
        <v>576</v>
      </c>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row>
    <row r="9" spans="1:37" ht="30" customHeight="1" x14ac:dyDescent="0.15">
      <c r="A9" s="98" t="s">
        <v>414</v>
      </c>
      <c r="B9" s="1" t="str">
        <f>IF(入力!$D$8=1,"","★")</f>
        <v/>
      </c>
      <c r="C9" s="162" t="s">
        <v>444</v>
      </c>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7" ht="18.600000000000001" customHeight="1" x14ac:dyDescent="0.15">
      <c r="A10" s="98" t="s">
        <v>414</v>
      </c>
      <c r="B10" s="1" t="str">
        <f>IF(入力!$D$8=1,"","★")</f>
        <v/>
      </c>
      <c r="C10" s="161" t="s">
        <v>420</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row>
    <row r="11" spans="1:37" ht="18.600000000000001" customHeight="1" x14ac:dyDescent="0.15">
      <c r="A11" s="98" t="s">
        <v>414</v>
      </c>
      <c r="B11" s="1" t="str">
        <f>IF(入力!$D$8=1,"","★")</f>
        <v/>
      </c>
      <c r="C11" s="163" t="s">
        <v>421</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row>
    <row r="12" spans="1:37" ht="30" customHeight="1" x14ac:dyDescent="0.15">
      <c r="A12" s="98" t="s">
        <v>414</v>
      </c>
      <c r="C12" s="162" t="s">
        <v>445</v>
      </c>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1:37" ht="18.600000000000001" customHeight="1" x14ac:dyDescent="0.15">
      <c r="A13" s="98" t="s">
        <v>414</v>
      </c>
      <c r="C13" s="163" t="s">
        <v>581</v>
      </c>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row>
    <row r="14" spans="1:37" ht="18.600000000000001" customHeight="1" x14ac:dyDescent="0.15">
      <c r="A14" s="98" t="s">
        <v>414</v>
      </c>
      <c r="C14" s="161" t="s">
        <v>422</v>
      </c>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row>
    <row r="15" spans="1:37" ht="18.600000000000001" customHeight="1" x14ac:dyDescent="0.15">
      <c r="A15" s="98" t="s">
        <v>414</v>
      </c>
      <c r="C15" s="161" t="s">
        <v>423</v>
      </c>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row>
    <row r="16" spans="1:37" ht="18.600000000000001" customHeight="1" x14ac:dyDescent="0.15">
      <c r="A16" s="98" t="s">
        <v>414</v>
      </c>
      <c r="C16" s="163" t="s">
        <v>424</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row>
    <row r="17" spans="1:37" ht="18.600000000000001" customHeight="1" x14ac:dyDescent="0.15">
      <c r="A17" s="98" t="s">
        <v>414</v>
      </c>
      <c r="C17" s="163" t="s">
        <v>425</v>
      </c>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row>
    <row r="18" spans="1:37" ht="18.600000000000001" customHeight="1" x14ac:dyDescent="0.15">
      <c r="A18" s="98" t="s">
        <v>414</v>
      </c>
      <c r="C18" s="161" t="s">
        <v>426</v>
      </c>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row>
    <row r="19" spans="1:37" ht="18.600000000000001" customHeight="1" x14ac:dyDescent="0.15">
      <c r="A19" s="98" t="s">
        <v>414</v>
      </c>
      <c r="C19" s="161" t="s">
        <v>427</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row>
    <row r="20" spans="1:37" ht="18.600000000000001" customHeight="1" x14ac:dyDescent="0.15">
      <c r="A20" s="98" t="s">
        <v>414</v>
      </c>
      <c r="B20" s="1" t="str">
        <f>IF(入力!$D$8=1,"","★")</f>
        <v/>
      </c>
      <c r="C20" s="161" t="s">
        <v>428</v>
      </c>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row>
    <row r="21" spans="1:37" ht="18.600000000000001" customHeight="1" x14ac:dyDescent="0.15">
      <c r="A21" s="98" t="s">
        <v>414</v>
      </c>
      <c r="B21" s="1" t="str">
        <f>IF(入力!$D$8=1,"","★")</f>
        <v/>
      </c>
      <c r="C21" s="161" t="s">
        <v>429</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row>
    <row r="22" spans="1:37" ht="18.600000000000001" customHeight="1" x14ac:dyDescent="0.15">
      <c r="A22" s="98" t="s">
        <v>414</v>
      </c>
      <c r="B22" s="1" t="str">
        <f>IF(入力!$D$8=1,"","★")</f>
        <v/>
      </c>
      <c r="C22" s="163" t="s">
        <v>430</v>
      </c>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row>
    <row r="23" spans="1:37" ht="18.600000000000001" customHeight="1" x14ac:dyDescent="0.15">
      <c r="A23" s="98" t="s">
        <v>414</v>
      </c>
      <c r="B23" s="1" t="str">
        <f>IF(入力!$D$8=1,"","★")</f>
        <v/>
      </c>
      <c r="C23" s="163" t="s">
        <v>431</v>
      </c>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row>
    <row r="24" spans="1:37" ht="18.600000000000001" customHeight="1" x14ac:dyDescent="0.15">
      <c r="A24" s="98" t="s">
        <v>414</v>
      </c>
      <c r="B24" s="1" t="str">
        <f>IF(入力!$D$8=1,"","★")</f>
        <v/>
      </c>
      <c r="C24" s="161" t="s">
        <v>432</v>
      </c>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row>
    <row r="25" spans="1:37" ht="18.600000000000001" customHeight="1" x14ac:dyDescent="0.15">
      <c r="A25" s="98" t="s">
        <v>414</v>
      </c>
      <c r="B25" s="1" t="str">
        <f>IF(入力!$D$8=1,"","★")</f>
        <v/>
      </c>
      <c r="C25" s="161" t="s">
        <v>433</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row>
    <row r="26" spans="1:37" ht="18.600000000000001" customHeight="1" x14ac:dyDescent="0.15">
      <c r="A26" s="98" t="s">
        <v>414</v>
      </c>
      <c r="B26" s="1" t="str">
        <f>IF(入力!$D$8=1,"","★")</f>
        <v/>
      </c>
      <c r="C26" s="163" t="s">
        <v>434</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row>
    <row r="27" spans="1:37" ht="18.600000000000001" customHeight="1" x14ac:dyDescent="0.15">
      <c r="A27" s="98" t="s">
        <v>414</v>
      </c>
      <c r="B27" s="1" t="str">
        <f>IF(入力!$D$8=1,"","★")</f>
        <v/>
      </c>
      <c r="C27" s="163" t="s">
        <v>435</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row>
    <row r="28" spans="1:37" ht="18.600000000000001" customHeight="1" x14ac:dyDescent="0.15">
      <c r="A28" s="98" t="s">
        <v>414</v>
      </c>
      <c r="B28" s="1" t="str">
        <f>IF(入力!$D$8=1,"","★")</f>
        <v/>
      </c>
      <c r="C28" s="163" t="s">
        <v>436</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row>
    <row r="29" spans="1:37" ht="18.600000000000001" customHeight="1" x14ac:dyDescent="0.15">
      <c r="A29" s="98" t="s">
        <v>414</v>
      </c>
      <c r="B29" s="1" t="str">
        <f>IF(入力!$D$8=1,"","★")</f>
        <v/>
      </c>
      <c r="C29" s="163" t="s">
        <v>437</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row>
    <row r="30" spans="1:37" ht="18.600000000000001" customHeight="1" x14ac:dyDescent="0.15">
      <c r="A30" s="98" t="s">
        <v>414</v>
      </c>
      <c r="B30" s="1" t="str">
        <f>IF(入力!$D$8=1,"","★")</f>
        <v/>
      </c>
      <c r="C30" s="163" t="s">
        <v>438</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row>
    <row r="31" spans="1:37" ht="18.600000000000001" customHeight="1" x14ac:dyDescent="0.15">
      <c r="A31" s="98" t="s">
        <v>414</v>
      </c>
      <c r="B31" s="1" t="str">
        <f>IF(入力!$D$8=1,"","★")</f>
        <v/>
      </c>
      <c r="C31" s="163" t="s">
        <v>439</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row>
    <row r="32" spans="1:37" ht="18.600000000000001" customHeight="1" x14ac:dyDescent="0.15">
      <c r="A32" s="98" t="s">
        <v>414</v>
      </c>
      <c r="B32" s="1" t="str">
        <f>IF(入力!$D$8=1,"","★")</f>
        <v/>
      </c>
      <c r="C32" s="163" t="s">
        <v>440</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row>
    <row r="33" spans="1:37" ht="18.600000000000001" customHeight="1" x14ac:dyDescent="0.15">
      <c r="A33" s="98" t="s">
        <v>414</v>
      </c>
      <c r="B33" s="1" t="str">
        <f>IF(入力!$D$8=1,"","★")</f>
        <v/>
      </c>
      <c r="C33" s="163" t="s">
        <v>441</v>
      </c>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row>
    <row r="34" spans="1:37" ht="18.600000000000001" customHeight="1" x14ac:dyDescent="0.15">
      <c r="A34" s="98" t="s">
        <v>414</v>
      </c>
      <c r="C34" s="163" t="s">
        <v>442</v>
      </c>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row>
    <row r="35" spans="1:37" ht="18.600000000000001" customHeight="1" x14ac:dyDescent="0.15">
      <c r="A35" s="98" t="s">
        <v>414</v>
      </c>
      <c r="C35" s="163" t="s">
        <v>443</v>
      </c>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row>
    <row r="36" spans="1:37" ht="18.600000000000001" customHeight="1" x14ac:dyDescent="0.15">
      <c r="A36" s="1" t="str">
        <f>IF(入力!$D$8=1,"","★は、事業所ごとに作成する書類を示す。")</f>
        <v/>
      </c>
    </row>
    <row r="37" spans="1:37" ht="18.600000000000001" customHeight="1" x14ac:dyDescent="0.15"/>
    <row r="38" spans="1:37" ht="18.600000000000001" customHeight="1" x14ac:dyDescent="0.15"/>
    <row r="39" spans="1:37" ht="18.600000000000001" customHeight="1" x14ac:dyDescent="0.15"/>
    <row r="40" spans="1:37" ht="18.600000000000001" customHeight="1" x14ac:dyDescent="0.15"/>
    <row r="41" spans="1:37" ht="18.600000000000001" customHeight="1" x14ac:dyDescent="0.15"/>
    <row r="42" spans="1:37" ht="18.600000000000001" customHeight="1" x14ac:dyDescent="0.15"/>
    <row r="43" spans="1:37" ht="18.600000000000001" customHeight="1" x14ac:dyDescent="0.15"/>
    <row r="44" spans="1:37" ht="18.600000000000001" customHeight="1" x14ac:dyDescent="0.15"/>
    <row r="45" spans="1:37" ht="18.600000000000001" customHeight="1" x14ac:dyDescent="0.15"/>
    <row r="46" spans="1:37" ht="18.600000000000001" customHeight="1" x14ac:dyDescent="0.15"/>
    <row r="47" spans="1:37" ht="18.600000000000001" customHeight="1" x14ac:dyDescent="0.15"/>
    <row r="48" spans="1:37" ht="18.600000000000001" customHeight="1" x14ac:dyDescent="0.15"/>
    <row r="49" ht="18.600000000000001" customHeight="1" x14ac:dyDescent="0.15"/>
    <row r="50" ht="18.600000000000001" customHeight="1" x14ac:dyDescent="0.15"/>
  </sheetData>
  <sheetProtection sheet="1" objects="1" scenarios="1" selectLockedCells="1"/>
  <mergeCells count="33">
    <mergeCell ref="C34:AK34"/>
    <mergeCell ref="C35:AK35"/>
    <mergeCell ref="C28:AK28"/>
    <mergeCell ref="C29:AK29"/>
    <mergeCell ref="C30:AK30"/>
    <mergeCell ref="C31:AK31"/>
    <mergeCell ref="C32:AK32"/>
    <mergeCell ref="C33:AK33"/>
    <mergeCell ref="C27:AK27"/>
    <mergeCell ref="C16:AK16"/>
    <mergeCell ref="C17:AK17"/>
    <mergeCell ref="C18:AK18"/>
    <mergeCell ref="C19:AK19"/>
    <mergeCell ref="C20:AK20"/>
    <mergeCell ref="C21:AK21"/>
    <mergeCell ref="C22:AK22"/>
    <mergeCell ref="C23:AK23"/>
    <mergeCell ref="C24:AK24"/>
    <mergeCell ref="C25:AK25"/>
    <mergeCell ref="C26:AK26"/>
    <mergeCell ref="C15:AK15"/>
    <mergeCell ref="C3:AK3"/>
    <mergeCell ref="C5:AK5"/>
    <mergeCell ref="C6:AK6"/>
    <mergeCell ref="C7:AK7"/>
    <mergeCell ref="C9:AK9"/>
    <mergeCell ref="C8:AK8"/>
    <mergeCell ref="C10:AK10"/>
    <mergeCell ref="C11:AK11"/>
    <mergeCell ref="C12:AK12"/>
    <mergeCell ref="C13:AK13"/>
    <mergeCell ref="C14:AK14"/>
    <mergeCell ref="C4:AK4"/>
  </mergeCells>
  <phoneticPr fontId="1"/>
  <hyperlinks>
    <hyperlink ref="C3:AK3" location="様式14!A8" display="様式第14「保安機関認定更新申請書」" xr:uid="{00000000-0004-0000-0100-000000000000}"/>
    <hyperlink ref="C5:AK5" location="証紙貼付!A1" display="滋賀県収入証紙" xr:uid="{00000000-0004-0000-0100-000001000000}"/>
    <hyperlink ref="C6:AK6" location="様式13!A2" display="様式第13「保安業務計画書」" xr:uid="{00000000-0004-0000-0100-000002000000}"/>
    <hyperlink ref="C7:AK7" location="'滋様13-1'!A3" display="滋LP様式第13-1「保安機関の説明書」" xr:uid="{00000000-0004-0000-0100-000003000000}"/>
    <hyperlink ref="C9:AK9" location="'滋様13-2'!A3" display="滋LP様式第13-2「事業所の位置及び緊急時対応を行おうとする一般消費者等の範囲を示した図面」" xr:uid="{00000000-0004-0000-0100-000004000000}"/>
    <hyperlink ref="C10:AK10" location="'滋様13-3'!A3" display="滋LP様式第13-3「緊急時対応の方法を説明した書面」" xr:uid="{00000000-0004-0000-0100-000005000000}"/>
    <hyperlink ref="C12:AK12" location="'滋様13-4'!A4" display="滋LP様式第13-4「液化石油ガスによる災害により支払うことのある損害賠償の支払い能力を証する書面」" xr:uid="{00000000-0004-0000-0100-000006000000}"/>
    <hyperlink ref="C14:AK14" location="'滋様13-5'!A4" display="滋LP様式第13-5「役員及び規則第33条に定める構成員の構成を説明した書面」" xr:uid="{00000000-0004-0000-0100-000007000000}"/>
    <hyperlink ref="C15:AK15" location="'滋様13-6'!A4" display="滋LP様式第13-6「保安業務以外の業務の種類及び概要を記載した書面」" xr:uid="{00000000-0004-0000-0100-000008000000}"/>
    <hyperlink ref="C18:AK18" location="'滋様13-7'!A3" display="滋LP様式第13-7「欠格条項に該当しないことの誓約書(法人用)」" xr:uid="{00000000-0004-0000-0100-000009000000}"/>
    <hyperlink ref="C19:AK19" location="'滋様13-8'!A3" display="滋LP様式第13-8「欠格条項に該当しないことの誓約書(個人用)」" xr:uid="{00000000-0004-0000-0100-00000A000000}"/>
    <hyperlink ref="C20:AK20" location="'滋様13-9'!A2" display="滋LP様式第13-9「保安業務に係る技術的能力の算定書」" xr:uid="{00000000-0004-0000-0100-00000B000000}"/>
    <hyperlink ref="C21:AK21" location="'滋様13-10'!A3" display="滋LP様式第13-10「保安業務資格者名簿および在籍証明書」" xr:uid="{00000000-0004-0000-0100-00000C000000}"/>
    <hyperlink ref="C24:AK24" location="'滋様13-11'!A3" display="滋LP様式第13-11「実務経験を必要とする保安業務資格者の実務経験を証する書面」" xr:uid="{00000000-0004-0000-0100-00000D000000}"/>
    <hyperlink ref="C25:AK25" location="'滋様13-12'!A3" display="滋LP様式第13-12「保安業務用機器の専有証明書」" xr:uid="{00000000-0004-0000-0100-00000E000000}"/>
    <hyperlink ref="C8:AK8" location="'滋様13-1別'!A6" display="滋LP様式第13-1別紙「他の液化石油ガス販売事業者から委託を受ける保安業務の状況」" xr:uid="{00000000-0004-0000-0100-00000F000000}"/>
    <hyperlink ref="C4:AK4" location="様式14別紙!A1" display="様式第14別紙" xr:uid="{00000000-0004-0000-0100-000010000000}"/>
  </hyperlinks>
  <pageMargins left="1.1023622047244095" right="1.1023622047244095" top="1.3779527559055118" bottom="1.3779527559055118" header="0.31496062992125984" footer="0.31496062992125984"/>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17B6A154-BE3A-4CAD-A4F1-DECBA61281C5}">
            <xm:f>'滋様13-1別'!$B$1="提出不要"</xm:f>
            <x14:dxf>
              <font>
                <strike/>
                <color theme="0" tint="-0.24994659260841701"/>
              </font>
            </x14:dxf>
          </x14:cfRule>
          <xm:sqref>A8:C8</xm:sqref>
        </x14:conditionalFormatting>
        <x14:conditionalFormatting xmlns:xm="http://schemas.microsoft.com/office/excel/2006/main">
          <x14:cfRule type="expression" priority="17" id="{AE81BA22-BE46-4357-86A8-256D7545648F}">
            <xm:f>'滋様13-2'!$I$1="提出不要"</xm:f>
            <x14:dxf>
              <font>
                <strike/>
                <color theme="0" tint="-0.24994659260841701"/>
              </font>
            </x14:dxf>
          </x14:cfRule>
          <xm:sqref>A9:C9</xm:sqref>
        </x14:conditionalFormatting>
        <x14:conditionalFormatting xmlns:xm="http://schemas.microsoft.com/office/excel/2006/main">
          <x14:cfRule type="expression" priority="4" id="{C1C84AD8-CB37-466F-9081-4D829577B71A}">
            <xm:f>'滋様13-3'!$I$1="提出不要"</xm:f>
            <x14:dxf>
              <font>
                <strike/>
                <color theme="0" tint="-0.24994659260841701"/>
              </font>
            </x14:dxf>
          </x14:cfRule>
          <xm:sqref>A10:C11</xm:sqref>
        </x14:conditionalFormatting>
        <x14:conditionalFormatting xmlns:xm="http://schemas.microsoft.com/office/excel/2006/main">
          <x14:cfRule type="expression" priority="16" id="{6EB14D6C-3A20-4AB7-8DA5-3CCBCB8B498A}">
            <xm:f>'滋様13-5'!$I$1="提出不要"</xm:f>
            <x14:dxf>
              <font>
                <strike/>
                <color theme="0" tint="-0.24994659260841701"/>
              </font>
            </x14:dxf>
          </x14:cfRule>
          <xm:sqref>A14:C14 A16:C17</xm:sqref>
        </x14:conditionalFormatting>
        <x14:conditionalFormatting xmlns:xm="http://schemas.microsoft.com/office/excel/2006/main">
          <x14:cfRule type="expression" priority="2" id="{7213B935-43AE-4D4D-9E41-E7176201051A}">
            <xm:f>'滋様13-7'!$I$1="提出不要"</xm:f>
            <x14:dxf>
              <font>
                <strike/>
                <color theme="0" tint="-0.24994659260841701"/>
              </font>
            </x14:dxf>
          </x14:cfRule>
          <xm:sqref>A18:C18</xm:sqref>
        </x14:conditionalFormatting>
        <x14:conditionalFormatting xmlns:xm="http://schemas.microsoft.com/office/excel/2006/main">
          <x14:cfRule type="expression" priority="14" id="{4101434E-F25D-41D5-8C21-178FE84E6D4C}">
            <xm:f>'滋様13-8'!$I$1="提出不要"</xm:f>
            <x14:dxf>
              <font>
                <strike/>
                <color theme="0" tint="-0.24994659260841701"/>
              </font>
            </x14:dxf>
          </x14:cfRule>
          <xm:sqref>A19:C19</xm:sqref>
        </x14:conditionalFormatting>
        <x14:conditionalFormatting xmlns:xm="http://schemas.microsoft.com/office/excel/2006/main">
          <x14:cfRule type="expression" priority="13" id="{53508E76-31D1-49DF-963D-202F13FFBA0D}">
            <xm:f>'滋様13-11'!$I$1="提出不要"</xm:f>
            <x14:dxf>
              <font>
                <strike/>
                <color theme="0" tint="-0.24994659260841701"/>
              </font>
            </x14:dxf>
          </x14:cfRule>
          <xm:sqref>A24:C24</xm:sqref>
        </x14:conditionalFormatting>
        <x14:conditionalFormatting xmlns:xm="http://schemas.microsoft.com/office/excel/2006/main">
          <x14:cfRule type="expression" priority="1" id="{3BFC8D07-5CB5-400E-A183-9E568339275E}">
            <xm:f>'滋様13-12'!$J$1="提出不要"</xm:f>
            <x14:dxf>
              <font>
                <strike/>
                <color theme="0" tint="-0.24994659260841701"/>
              </font>
              <fill>
                <patternFill patternType="none">
                  <bgColor auto="1"/>
                </patternFill>
              </fill>
            </x14:dxf>
          </x14:cfRule>
          <xm:sqref>A25:C25</xm:sqref>
        </x14:conditionalFormatting>
        <x14:conditionalFormatting xmlns:xm="http://schemas.microsoft.com/office/excel/2006/main">
          <x14:cfRule type="expression" priority="12" id="{BFF024CA-D5ED-459C-B41F-2AF9031AAB8C}">
            <xm:f>'滋様13-9'!$N$168=0</xm:f>
            <x14:dxf>
              <font>
                <strike/>
                <color theme="0" tint="-0.24994659260841701"/>
              </font>
            </x14:dxf>
          </x14:cfRule>
          <xm:sqref>A26:C28</xm:sqref>
        </x14:conditionalFormatting>
        <x14:conditionalFormatting xmlns:xm="http://schemas.microsoft.com/office/excel/2006/main">
          <x14:cfRule type="expression" priority="10" id="{98D55F9B-B49F-4E99-B35B-E78E76D5E2F8}">
            <xm:f>'滋様13-9'!$W$168=0</xm:f>
            <x14:dxf>
              <font>
                <strike/>
                <color theme="0" tint="-0.24994659260841701"/>
              </font>
            </x14:dxf>
          </x14:cfRule>
          <xm:sqref>A29:C29</xm:sqref>
        </x14:conditionalFormatting>
        <x14:conditionalFormatting xmlns:xm="http://schemas.microsoft.com/office/excel/2006/main">
          <x14:cfRule type="expression" priority="9" id="{245C8474-0445-4A32-82D7-AA70B42D4A7B}">
            <xm:f>'滋様13-9'!$AF$168=0</xm:f>
            <x14:dxf>
              <font>
                <strike/>
                <color theme="0" tint="-0.24994659260841701"/>
              </font>
            </x14:dxf>
          </x14:cfRule>
          <xm:sqref>A30:C30</xm:sqref>
        </x14:conditionalFormatting>
        <x14:conditionalFormatting xmlns:xm="http://schemas.microsoft.com/office/excel/2006/main">
          <x14:cfRule type="expression" priority="8" id="{5493009A-1FD8-41A9-88EF-A8904FB56A52}">
            <xm:f>'滋様13-9'!$N$178=0</xm:f>
            <x14:dxf>
              <font>
                <strike/>
                <color theme="0" tint="-0.24994659260841701"/>
              </font>
            </x14:dxf>
          </x14:cfRule>
          <xm:sqref>A31:C31</xm:sqref>
        </x14:conditionalFormatting>
        <x14:conditionalFormatting xmlns:xm="http://schemas.microsoft.com/office/excel/2006/main">
          <x14:cfRule type="expression" priority="7" id="{C78336F6-1A07-4040-8845-BFBAC9081863}">
            <xm:f>'滋様13-9'!$W$178=0</xm:f>
            <x14:dxf>
              <font>
                <strike/>
                <color theme="0" tint="-0.24994659260841701"/>
              </font>
            </x14:dxf>
          </x14:cfRule>
          <xm:sqref>A32:C32</xm:sqref>
        </x14:conditionalFormatting>
        <x14:conditionalFormatting xmlns:xm="http://schemas.microsoft.com/office/excel/2006/main">
          <x14:cfRule type="expression" priority="6" id="{A051D1DC-E8E6-4CA6-A47E-9AB373531984}">
            <xm:f>'滋様13-9'!$AF$178=0</xm:f>
            <x14:dxf>
              <font>
                <strike/>
                <color theme="0" tint="-0.24994659260841701"/>
              </font>
            </x14:dxf>
          </x14:cfRule>
          <xm:sqref>A33:C33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R58"/>
  <sheetViews>
    <sheetView topLeftCell="A7" workbookViewId="0">
      <selection activeCell="A10" sqref="A10:AN10"/>
    </sheetView>
  </sheetViews>
  <sheetFormatPr defaultColWidth="8.75" defaultRowHeight="12.75" x14ac:dyDescent="0.15"/>
  <cols>
    <col min="1" max="22" width="2.125" style="2" customWidth="1"/>
    <col min="23" max="23" width="0.875" style="2" customWidth="1"/>
    <col min="24" max="29" width="2.125" style="2" customWidth="1"/>
    <col min="30" max="30" width="0.875" style="2" customWidth="1"/>
    <col min="31" max="40" width="2" style="2" customWidth="1"/>
    <col min="41" max="41" width="2.375" style="2" customWidth="1"/>
    <col min="42" max="42" width="8.75" style="2"/>
    <col min="43" max="43" width="8.75" style="2" customWidth="1"/>
    <col min="44" max="16384" width="8.75" style="2"/>
  </cols>
  <sheetData>
    <row r="1" spans="1:44" ht="18.600000000000001" customHeight="1" x14ac:dyDescent="0.15">
      <c r="A1" s="2" t="s">
        <v>13</v>
      </c>
      <c r="M1" s="166" t="str">
        <f ca="1">IF(COUNTIF(AQ2:AQ100,"*未入力*"),"未入力あり","")</f>
        <v/>
      </c>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4" ht="19.5" customHeight="1" x14ac:dyDescent="0.15">
      <c r="W2" s="4"/>
      <c r="X2" s="167" t="s">
        <v>1</v>
      </c>
      <c r="Y2" s="167"/>
      <c r="Z2" s="167"/>
      <c r="AA2" s="167"/>
      <c r="AB2" s="167"/>
      <c r="AC2" s="167"/>
      <c r="AD2" s="5"/>
      <c r="AE2" s="4"/>
      <c r="AF2" s="6"/>
      <c r="AG2" s="6"/>
      <c r="AH2" s="6"/>
      <c r="AI2" s="6"/>
      <c r="AJ2" s="6"/>
      <c r="AK2" s="6"/>
      <c r="AL2" s="6"/>
      <c r="AM2" s="6"/>
      <c r="AN2" s="6"/>
      <c r="AO2" s="5"/>
    </row>
    <row r="3" spans="1:44" ht="19.5" customHeight="1" x14ac:dyDescent="0.15">
      <c r="W3" s="4"/>
      <c r="X3" s="167" t="s">
        <v>2</v>
      </c>
      <c r="Y3" s="167"/>
      <c r="Z3" s="167"/>
      <c r="AA3" s="167"/>
      <c r="AB3" s="167"/>
      <c r="AC3" s="167"/>
      <c r="AD3" s="5"/>
      <c r="AE3" s="4"/>
      <c r="AF3" s="6"/>
      <c r="AG3" s="6"/>
      <c r="AH3" s="6"/>
      <c r="AI3" s="6"/>
      <c r="AJ3" s="6"/>
      <c r="AK3" s="6"/>
      <c r="AL3" s="6"/>
      <c r="AM3" s="6"/>
      <c r="AN3" s="6"/>
      <c r="AO3" s="5"/>
    </row>
    <row r="4" spans="1:44" ht="19.5" customHeight="1" x14ac:dyDescent="0.15">
      <c r="W4" s="4"/>
      <c r="X4" s="167" t="s">
        <v>3</v>
      </c>
      <c r="Y4" s="167"/>
      <c r="Z4" s="167"/>
      <c r="AA4" s="167"/>
      <c r="AB4" s="167"/>
      <c r="AC4" s="167"/>
      <c r="AD4" s="5"/>
      <c r="AE4" s="4"/>
      <c r="AF4" s="6"/>
      <c r="AG4" s="6"/>
      <c r="AH4" s="6"/>
      <c r="AI4" s="6"/>
      <c r="AJ4" s="6"/>
      <c r="AK4" s="6"/>
      <c r="AL4" s="6"/>
      <c r="AM4" s="6"/>
      <c r="AN4" s="6"/>
      <c r="AO4" s="7" t="s">
        <v>11</v>
      </c>
    </row>
    <row r="5" spans="1:44" ht="19.5" customHeight="1" x14ac:dyDescent="0.15">
      <c r="W5" s="4"/>
      <c r="X5" s="167" t="s">
        <v>4</v>
      </c>
      <c r="Y5" s="167"/>
      <c r="Z5" s="167"/>
      <c r="AA5" s="167"/>
      <c r="AB5" s="167"/>
      <c r="AC5" s="167"/>
      <c r="AD5" s="5"/>
      <c r="AE5" s="4"/>
      <c r="AF5" s="6"/>
      <c r="AG5" s="6"/>
      <c r="AH5" s="6"/>
      <c r="AI5" s="6"/>
      <c r="AJ5" s="6"/>
      <c r="AK5" s="6"/>
      <c r="AL5" s="6"/>
      <c r="AM5" s="6"/>
      <c r="AN5" s="6"/>
      <c r="AO5" s="5"/>
      <c r="AQ5" s="2" t="str">
        <f ca="1">MID(CELL("filename",入力!A1),FIND("]",CELL("filename",入力!A1))+1,31)</f>
        <v>入力</v>
      </c>
      <c r="AR5" s="2" t="str">
        <f>SUBSTITUTE(ADDRESS(1,COLUMN(入力!D1),4),1,"")</f>
        <v>D</v>
      </c>
    </row>
    <row r="6" spans="1:44" ht="19.5" customHeight="1" x14ac:dyDescent="0.15"/>
    <row r="7" spans="1:44" ht="19.5" customHeight="1" x14ac:dyDescent="0.15"/>
    <row r="8" spans="1:44" ht="18.600000000000001" customHeight="1" x14ac:dyDescent="0.15">
      <c r="A8" s="166" t="s">
        <v>5</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row>
    <row r="9" spans="1:44" ht="17.100000000000001" customHeight="1" x14ac:dyDescent="0.15"/>
    <row r="10" spans="1:44" ht="17.100000000000001" customHeight="1" x14ac:dyDescent="0.15">
      <c r="A10" s="168" t="str">
        <f>TEXT(AQ10,"ggge年(")&amp;TEXT(AQ10,"yyyy年)m月d日")</f>
        <v>令和5年(2023年)10月1日</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Q10" s="2">
        <f>IF(入力!D2="",様式14!$AQ$5&amp;様式14!$AR$5&amp;ROW(入力!D2)&amp;" 未入力",入力!D2)</f>
        <v>45200</v>
      </c>
    </row>
    <row r="11" spans="1:44" ht="21" customHeight="1" x14ac:dyDescent="0.15">
      <c r="AM11" s="3"/>
      <c r="AQ11" s="2" t="str">
        <f>IF(入力!D3="",様式14!$AQ$5&amp;様式14!$AR$5&amp;ROW(入力!D3)&amp;" 未入力",入力!D3)</f>
        <v>法人</v>
      </c>
    </row>
    <row r="12" spans="1:44" ht="21" customHeight="1" x14ac:dyDescent="0.15">
      <c r="A12" s="2" t="s">
        <v>214</v>
      </c>
      <c r="AM12" s="3"/>
      <c r="AQ12" s="2">
        <f>MAX(LENB(AQ15)/2,LENB(AQ17)/2,LENB(AQ19)/2)</f>
        <v>12</v>
      </c>
    </row>
    <row r="13" spans="1:44" ht="21" customHeight="1" x14ac:dyDescent="0.15">
      <c r="AQ13" s="2" t="str">
        <f>IF(AQ12&lt;13,"　　　","")&amp;IF(AQ12&lt;16,"　　　","")&amp;IF(AQ12&lt;19,"　　　","")&amp;IF(AQ12&lt;22,"　　　","")&amp;IF(AQ12&lt;25,"　　　","")&amp;"　　　　"</f>
        <v>　　　　　　　　　　　　　　　　　　　</v>
      </c>
    </row>
    <row r="14" spans="1:44" ht="15" customHeight="1" x14ac:dyDescent="0.15">
      <c r="A14" s="164" t="str">
        <f>AQ13&amp;"氏名又は名称及び　"&amp;AQ15</f>
        <v>　　　　　　　　　　　　　　　　　　　氏名又は名称及び　○○株式会社</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Q14" s="2" t="str">
        <f>IF(入力!D5="",様式14!$AQ$5&amp;様式14!$AR$5&amp;ROW(入力!D5)&amp;" 未入力",入力!D5)</f>
        <v>○○株式会社</v>
      </c>
    </row>
    <row r="15" spans="1:44" ht="15" customHeight="1" x14ac:dyDescent="0.15">
      <c r="A15" s="164" t="str">
        <f>AQ13&amp;"法人にあっては　　"&amp;AQ16</f>
        <v>　　　　　　　　　　　　　　　　　　　法人にあっては　　</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Q15" s="2" t="str">
        <f>IF(AND(LEN(AQ14)&gt;LEN(AQ19),LEN(AQ14)&lt;16),AQ14,LEFT(AQ14,MAX(13,ROUNDUP(LEN(AQ14)/2,0)+1)))</f>
        <v>○○株式会社</v>
      </c>
    </row>
    <row r="16" spans="1:44" ht="15" customHeight="1" x14ac:dyDescent="0.15">
      <c r="A16" s="164" t="str">
        <f>AQ13&amp;"その代表者の氏名　"&amp;AQ17</f>
        <v>　　　　　　　　　　　　　　　　　　　その代表者の氏名　□□　□□</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Q16" s="2" t="str">
        <f>IF(LEN(AQ14)&lt;16,"",RIGHT(AQ14,LEN(AQ14)-MAX(13,ROUNDUP(LEN(AQ14)/2,0)+1)))</f>
        <v/>
      </c>
    </row>
    <row r="17" spans="1:43" ht="15" customHeight="1" x14ac:dyDescent="0.15">
      <c r="AQ17" s="2" t="str">
        <f>IF(AQ11="個人","",IF(入力!D6="",様式14!$AQ$5&amp;様式14!$AR$5&amp;ROW(入力!D6)&amp;" 未入力",入力!D6))</f>
        <v>□□　□□</v>
      </c>
    </row>
    <row r="18" spans="1:43" ht="15" customHeight="1" x14ac:dyDescent="0.15">
      <c r="A18" s="164" t="str">
        <f>AQ13&amp;"住　　　　　　所　"&amp;AQ19</f>
        <v>　　　　　　　　　　　　　　　　　　　住　　　　　　所　○○市○○町１－２－２０</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Q18" s="2" t="str">
        <f>IF(入力!D7="",様式14!$AQ$5&amp;様式14!$AR$5&amp;ROW(入力!D7)&amp;" 未入力",入力!D7)</f>
        <v>○○市○○町１－２－２０</v>
      </c>
    </row>
    <row r="19" spans="1:43" ht="15" customHeight="1" x14ac:dyDescent="0.15">
      <c r="A19" s="2" t="str">
        <f>AQ13&amp;"　　　　　　　　　"&amp;AQ20</f>
        <v>　　　　　　　　　　　　　　　　　　　　　　　　　　　　</v>
      </c>
      <c r="AQ19" s="2" t="str">
        <f>IF(LEN(AQ18)&lt;16,AQ18,LEFT(AQ18,MAX(13,ROUNDUP(LEN(AQ18)/2,0)+1)))</f>
        <v>○○市○○町１－２－２０</v>
      </c>
    </row>
    <row r="20" spans="1:43" ht="18.600000000000001" customHeight="1" x14ac:dyDescent="0.15">
      <c r="AQ20" s="2" t="str">
        <f>IF(LEN(AQ18)&lt;16,"",RIGHT(AQ18,LEN(AQ18)-(MAX(13,ROUNDUP(LEN(AQ18)/2,0)+1))))</f>
        <v/>
      </c>
    </row>
    <row r="21" spans="1:43" ht="18.600000000000001" customHeight="1" x14ac:dyDescent="0.15">
      <c r="A21" s="164" t="s">
        <v>12</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row>
    <row r="22" spans="1:43" ht="18.600000000000001" customHeight="1" x14ac:dyDescent="0.15">
      <c r="A22" s="164" t="s">
        <v>6</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row>
    <row r="23" spans="1:43" ht="21.95" customHeight="1" x14ac:dyDescent="0.15"/>
    <row r="24" spans="1:43" ht="18.600000000000001" customHeight="1" x14ac:dyDescent="0.15">
      <c r="A24" s="2" t="s">
        <v>7</v>
      </c>
    </row>
    <row r="25" spans="1:43" ht="18.600000000000001" customHeight="1" x14ac:dyDescent="0.15"/>
    <row r="26" spans="1:43" ht="18.600000000000001" customHeight="1" x14ac:dyDescent="0.15">
      <c r="A26" s="2" t="s">
        <v>523</v>
      </c>
    </row>
    <row r="27" spans="1:43" ht="18.600000000000001" customHeight="1" x14ac:dyDescent="0.15"/>
    <row r="28" spans="1:43" ht="18.600000000000001" customHeight="1" x14ac:dyDescent="0.15">
      <c r="A28" s="2" t="s">
        <v>8</v>
      </c>
    </row>
    <row r="29" spans="1:43" ht="18.600000000000001" customHeight="1" x14ac:dyDescent="0.15"/>
    <row r="30" spans="1:43" ht="18.600000000000001" customHeight="1" x14ac:dyDescent="0.15">
      <c r="A30" s="2" t="s">
        <v>523</v>
      </c>
    </row>
    <row r="31" spans="1:43" ht="18.600000000000001" customHeight="1" x14ac:dyDescent="0.15"/>
    <row r="32" spans="1:43" ht="18.600000000000001" customHeight="1" x14ac:dyDescent="0.15"/>
    <row r="33" spans="1:41" ht="18.600000000000001" customHeight="1" x14ac:dyDescent="0.15"/>
    <row r="34" spans="1:41" ht="18.600000000000001" customHeight="1" x14ac:dyDescent="0.15"/>
    <row r="35" spans="1:41" ht="15.95" customHeight="1" x14ac:dyDescent="0.15">
      <c r="A35" s="164" t="s">
        <v>9</v>
      </c>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row>
    <row r="36" spans="1:41" ht="15.95" customHeight="1" x14ac:dyDescent="0.15">
      <c r="A36" s="164" t="s">
        <v>10</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row>
    <row r="37" spans="1:41" ht="18.600000000000001" customHeight="1" x14ac:dyDescent="0.15"/>
    <row r="38" spans="1:41" ht="18.600000000000001" customHeight="1" x14ac:dyDescent="0.15"/>
    <row r="39" spans="1:41" ht="18.600000000000001" customHeight="1" x14ac:dyDescent="0.15"/>
    <row r="40" spans="1:41" ht="18.600000000000001" customHeight="1" x14ac:dyDescent="0.15"/>
    <row r="41" spans="1:41" ht="18.600000000000001" customHeight="1" x14ac:dyDescent="0.15"/>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row r="57" ht="18.600000000000001" customHeight="1" x14ac:dyDescent="0.15"/>
    <row r="58" ht="18.600000000000001" customHeight="1" x14ac:dyDescent="0.15"/>
  </sheetData>
  <sheetProtection sheet="1" objects="1" scenarios="1"/>
  <mergeCells count="15">
    <mergeCell ref="M1:AO1"/>
    <mergeCell ref="X4:AC4"/>
    <mergeCell ref="X3:AC3"/>
    <mergeCell ref="X2:AC2"/>
    <mergeCell ref="A21:AO21"/>
    <mergeCell ref="A35:AO35"/>
    <mergeCell ref="A36:AO36"/>
    <mergeCell ref="A8:AN8"/>
    <mergeCell ref="X5:AC5"/>
    <mergeCell ref="A10:AN10"/>
    <mergeCell ref="A22:AO22"/>
    <mergeCell ref="A18:AO18"/>
    <mergeCell ref="A16:AO16"/>
    <mergeCell ref="A14:AO14"/>
    <mergeCell ref="A15:AO15"/>
  </mergeCells>
  <phoneticPr fontId="1"/>
  <conditionalFormatting sqref="A7:AO7">
    <cfRule type="expression" dxfId="117" priority="4">
      <formula>A7="未入力あり"</formula>
    </cfRule>
  </conditionalFormatting>
  <conditionalFormatting sqref="M1">
    <cfRule type="expression" dxfId="116" priority="3">
      <formula>M1="未入力あり"</formula>
    </cfRule>
  </conditionalFormatting>
  <conditionalFormatting sqref="AQ1:AQ100 AR5">
    <cfRule type="expression" dxfId="115" priority="2">
      <formula>_xlfn.ISFORMULA(AQ1)</formula>
    </cfRule>
  </conditionalFormatting>
  <conditionalFormatting sqref="AQ1:AQ100">
    <cfRule type="expression" dxfId="114" priority="1">
      <formula>FIND("未入力",AQ1)</formula>
    </cfRule>
  </conditionalFormatting>
  <pageMargins left="0.94488188976377963" right="0.94488188976377963" top="0.78740157480314965" bottom="1.3779527559055118"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Z25"/>
  <sheetViews>
    <sheetView workbookViewId="0"/>
  </sheetViews>
  <sheetFormatPr defaultColWidth="8.75" defaultRowHeight="12.75" x14ac:dyDescent="0.15"/>
  <cols>
    <col min="1" max="1" width="22.625" style="2" customWidth="1"/>
    <col min="2" max="2" width="26.875" style="2" customWidth="1"/>
    <col min="3" max="10" width="2.75" style="2" customWidth="1"/>
    <col min="11" max="13" width="4.875" style="2" customWidth="1"/>
    <col min="14" max="21" width="4.5" style="2" customWidth="1"/>
    <col min="22" max="22" width="8.25" style="2" bestFit="1" customWidth="1"/>
    <col min="23" max="24" width="8.25" style="2" customWidth="1"/>
    <col min="25" max="16384" width="8.75" style="2"/>
  </cols>
  <sheetData>
    <row r="1" spans="1:26" ht="13.5" x14ac:dyDescent="0.15">
      <c r="A1" s="2" t="s">
        <v>524</v>
      </c>
      <c r="B1" s="166" t="str">
        <f>IF(COUNTIF(Z32:Z100,"*未入力*"),"未入力あり","")</f>
        <v/>
      </c>
      <c r="C1" s="184"/>
      <c r="D1" s="184"/>
      <c r="E1" s="184"/>
      <c r="F1" s="184"/>
      <c r="G1" s="184"/>
      <c r="H1" s="184"/>
      <c r="I1" s="184"/>
      <c r="J1" s="184"/>
      <c r="K1" s="184"/>
      <c r="L1" s="184"/>
      <c r="M1" s="184"/>
      <c r="N1" s="184"/>
      <c r="O1" s="184"/>
      <c r="P1" s="184"/>
      <c r="Q1" s="184"/>
      <c r="R1" s="184"/>
      <c r="S1" s="184"/>
      <c r="T1" s="184"/>
      <c r="U1" s="184"/>
      <c r="V1" s="184"/>
      <c r="W1" s="184"/>
      <c r="X1" s="184"/>
    </row>
    <row r="2" spans="1:26" x14ac:dyDescent="0.15">
      <c r="A2" s="82" t="str">
        <f>"事業者名："&amp;Z5</f>
        <v>事業者名：○○株式会社</v>
      </c>
      <c r="B2" s="82"/>
      <c r="C2" s="82"/>
      <c r="D2" s="82"/>
      <c r="E2" s="82"/>
      <c r="F2" s="82"/>
      <c r="G2" s="82"/>
      <c r="H2" s="82"/>
      <c r="I2" s="82"/>
      <c r="J2" s="82"/>
      <c r="K2" s="82"/>
      <c r="L2" s="82"/>
      <c r="M2" s="82"/>
      <c r="N2" s="82"/>
      <c r="O2" s="82"/>
      <c r="P2" s="82"/>
      <c r="Q2" s="82"/>
      <c r="R2" s="82"/>
      <c r="S2" s="82"/>
      <c r="T2" s="82"/>
      <c r="U2" s="82"/>
      <c r="V2" s="82"/>
      <c r="W2" s="82"/>
      <c r="X2" s="82"/>
    </row>
    <row r="3" spans="1:26" x14ac:dyDescent="0.15">
      <c r="A3" s="190" t="s">
        <v>493</v>
      </c>
      <c r="B3" s="191"/>
      <c r="C3" s="192" t="s">
        <v>492</v>
      </c>
      <c r="D3" s="193"/>
      <c r="E3" s="193"/>
      <c r="F3" s="193"/>
      <c r="G3" s="193"/>
      <c r="H3" s="193"/>
      <c r="I3" s="193"/>
      <c r="J3" s="193"/>
      <c r="K3" s="193"/>
      <c r="L3" s="193"/>
      <c r="M3" s="191"/>
      <c r="N3" s="192" t="s">
        <v>497</v>
      </c>
      <c r="O3" s="193"/>
      <c r="P3" s="193"/>
      <c r="Q3" s="193"/>
      <c r="R3" s="193"/>
      <c r="S3" s="193"/>
      <c r="T3" s="193"/>
      <c r="U3" s="193"/>
      <c r="V3" s="193"/>
      <c r="W3" s="193"/>
      <c r="X3" s="191"/>
    </row>
    <row r="4" spans="1:26" ht="81" customHeight="1" x14ac:dyDescent="0.15">
      <c r="A4" s="112" t="s">
        <v>490</v>
      </c>
      <c r="B4" s="118" t="s">
        <v>491</v>
      </c>
      <c r="C4" s="117" t="s">
        <v>499</v>
      </c>
      <c r="D4" s="115" t="s">
        <v>501</v>
      </c>
      <c r="E4" s="116" t="s">
        <v>503</v>
      </c>
      <c r="F4" s="115" t="s">
        <v>505</v>
      </c>
      <c r="G4" s="116" t="s">
        <v>509</v>
      </c>
      <c r="H4" s="115" t="s">
        <v>507</v>
      </c>
      <c r="I4" s="116" t="s">
        <v>513</v>
      </c>
      <c r="J4" s="115" t="s">
        <v>511</v>
      </c>
      <c r="K4" s="113" t="s">
        <v>32</v>
      </c>
      <c r="L4" s="113" t="s">
        <v>33</v>
      </c>
      <c r="M4" s="114" t="s">
        <v>34</v>
      </c>
      <c r="N4" s="117" t="s">
        <v>498</v>
      </c>
      <c r="O4" s="115" t="s">
        <v>500</v>
      </c>
      <c r="P4" s="116" t="s">
        <v>502</v>
      </c>
      <c r="Q4" s="115" t="s">
        <v>504</v>
      </c>
      <c r="R4" s="116" t="s">
        <v>508</v>
      </c>
      <c r="S4" s="115" t="s">
        <v>506</v>
      </c>
      <c r="T4" s="116" t="s">
        <v>512</v>
      </c>
      <c r="U4" s="115" t="s">
        <v>510</v>
      </c>
      <c r="V4" s="113" t="s">
        <v>494</v>
      </c>
      <c r="W4" s="113" t="s">
        <v>495</v>
      </c>
      <c r="X4" s="114" t="s">
        <v>496</v>
      </c>
    </row>
    <row r="5" spans="1:26" ht="33" customHeight="1" x14ac:dyDescent="0.15">
      <c r="A5" s="119" t="str">
        <f>IF(Z7=1,IF(Z8="同じ",Z5,Z9),"")</f>
        <v>○○株式会社</v>
      </c>
      <c r="B5" s="120" t="str">
        <f>IF(Z7=1,IF(Z10="同じ",Z6,Z11),"")</f>
        <v>○○市○○町１－２－２０</v>
      </c>
      <c r="C5" s="176" t="str">
        <f>IF($Z$7=1,IF(COUNTIF(Z12,"*の認定を受ける*"),"○","－"),"")</f>
        <v>－</v>
      </c>
      <c r="D5" s="174">
        <f t="shared" ref="D5" si="0">IF($Z$7=1,IF(AB10="同じ",AB6,AB11),"")</f>
        <v>0</v>
      </c>
      <c r="E5" s="173" t="str">
        <f>IF($Z$7=1,IF(COUNTIF(Z13,"*の認定を受ける*"),"○","－"),"")</f>
        <v>○</v>
      </c>
      <c r="F5" s="174"/>
      <c r="G5" s="173" t="str">
        <f>IF($Z$7=1,IF(COUNTIF(Z14,"*の認定を受ける*"),"○","－"),"")</f>
        <v>○</v>
      </c>
      <c r="H5" s="174"/>
      <c r="I5" s="173" t="str">
        <f>IF($Z$7=1,IF(COUNTIF(Z15,"*の認定を受ける*"),"○","－"),"")</f>
        <v>○</v>
      </c>
      <c r="J5" s="174"/>
      <c r="K5" s="121" t="str">
        <f>IF($Z$7=1,IF(COUNTIF(Z16,"*の認定を受ける*"),"○","－"),"")</f>
        <v>○</v>
      </c>
      <c r="L5" s="121" t="str">
        <f>IF($Z$7=1,IF(COUNTIF(Z17,"*の認定を受ける*"),"○","－"),"")</f>
        <v>○</v>
      </c>
      <c r="M5" s="122" t="str">
        <f>IF($Z$7=1,IF(COUNTIF(Z18,"*の認定を受ける*"),"○","－"),"")</f>
        <v>－</v>
      </c>
      <c r="N5" s="183" t="str">
        <f>IF($Z$7=1,IF(COUNTIF(Z12,"*の認定を受ける*"),Z19,"－"),IF(C5="－","－",""))</f>
        <v>－</v>
      </c>
      <c r="O5" s="182"/>
      <c r="P5" s="181">
        <f>IF($Z$7=1,IF(COUNTIF(Z13,"*の認定を受ける*"),Z20,"－"),IF(E5="－","－",""))</f>
        <v>500</v>
      </c>
      <c r="Q5" s="182"/>
      <c r="R5" s="181">
        <f>IF($Z$7=1,IF(COUNTIF(Z14,"*の認定を受ける*"),Z21,"－"),IF(G5="－","－",""))</f>
        <v>500</v>
      </c>
      <c r="S5" s="182"/>
      <c r="T5" s="181">
        <f>IF($Z$7=1,IF(COUNTIF(Z15,"*の認定を受ける*"),Z22,"－"),IF(I5="－","－",""))</f>
        <v>500</v>
      </c>
      <c r="U5" s="182"/>
      <c r="V5" s="123">
        <f>IF($Z$7=1,IF(COUNTIF(Z16,"*の認定を受ける*"),Z23,"－"),IF(K5="－","－",""))</f>
        <v>500</v>
      </c>
      <c r="W5" s="123">
        <f>IF($Z$7=1,IF(COUNTIF(Z17,"*の認定を受ける*"),Z24,"－"),IF(L5="－","－",""))</f>
        <v>500</v>
      </c>
      <c r="X5" s="124" t="str">
        <f>IF($Z$7=1,IF(COUNTIF(Z18,"*の認定を受ける*"),Z25,"－"),IF(M5="－","－",""))</f>
        <v>－</v>
      </c>
      <c r="Z5" s="2" t="str">
        <f>IF(入力!D5="",様式14!$AQ$5&amp;様式14!$AR$5&amp;ROW(入力!D5)&amp;" 未入力",入力!D5)</f>
        <v>○○株式会社</v>
      </c>
    </row>
    <row r="6" spans="1:26" ht="33" customHeight="1" x14ac:dyDescent="0.15">
      <c r="A6" s="125"/>
      <c r="B6" s="126"/>
      <c r="C6" s="169"/>
      <c r="D6" s="170"/>
      <c r="E6" s="175"/>
      <c r="F6" s="170"/>
      <c r="G6" s="175"/>
      <c r="H6" s="170"/>
      <c r="I6" s="175"/>
      <c r="J6" s="170"/>
      <c r="K6" s="111"/>
      <c r="L6" s="111"/>
      <c r="M6" s="127"/>
      <c r="N6" s="180" t="str">
        <f t="shared" ref="N6:N14" si="1">IF(C6="－","－","")</f>
        <v/>
      </c>
      <c r="O6" s="179"/>
      <c r="P6" s="178" t="str">
        <f t="shared" ref="P6:P14" si="2">IF(E6="－","－","")</f>
        <v/>
      </c>
      <c r="Q6" s="179"/>
      <c r="R6" s="178" t="str">
        <f t="shared" ref="R6:R14" si="3">IF(G6="－","－","")</f>
        <v/>
      </c>
      <c r="S6" s="179"/>
      <c r="T6" s="178" t="str">
        <f t="shared" ref="T6:T14" si="4">IF(I6="－","－","")</f>
        <v/>
      </c>
      <c r="U6" s="179"/>
      <c r="V6" s="128" t="str">
        <f t="shared" ref="V6:V14" si="5">IF(K6="－","－","")</f>
        <v/>
      </c>
      <c r="W6" s="128" t="str">
        <f t="shared" ref="W6:X6" si="6">IF(L6="－","－","")</f>
        <v/>
      </c>
      <c r="X6" s="129" t="str">
        <f t="shared" si="6"/>
        <v/>
      </c>
      <c r="Z6" s="2" t="str">
        <f>IF(入力!D7="",様式14!$AQ$5&amp;様式14!$AR$5&amp;ROW(入力!D7)&amp;" 未入力",入力!D7)</f>
        <v>○○市○○町１－２－２０</v>
      </c>
    </row>
    <row r="7" spans="1:26" ht="33" customHeight="1" x14ac:dyDescent="0.15">
      <c r="A7" s="125"/>
      <c r="B7" s="126"/>
      <c r="C7" s="169"/>
      <c r="D7" s="170"/>
      <c r="E7" s="175"/>
      <c r="F7" s="170"/>
      <c r="G7" s="175"/>
      <c r="H7" s="170"/>
      <c r="I7" s="175"/>
      <c r="J7" s="170"/>
      <c r="K7" s="111"/>
      <c r="L7" s="111"/>
      <c r="M7" s="127"/>
      <c r="N7" s="180" t="str">
        <f t="shared" si="1"/>
        <v/>
      </c>
      <c r="O7" s="179"/>
      <c r="P7" s="178" t="str">
        <f t="shared" si="2"/>
        <v/>
      </c>
      <c r="Q7" s="179"/>
      <c r="R7" s="178" t="str">
        <f t="shared" si="3"/>
        <v/>
      </c>
      <c r="S7" s="179"/>
      <c r="T7" s="178" t="str">
        <f t="shared" si="4"/>
        <v/>
      </c>
      <c r="U7" s="179"/>
      <c r="V7" s="128" t="str">
        <f t="shared" si="5"/>
        <v/>
      </c>
      <c r="W7" s="128" t="str">
        <f t="shared" ref="W7:W14" si="7">IF(L7="－","－","")</f>
        <v/>
      </c>
      <c r="X7" s="129" t="str">
        <f t="shared" ref="X7:X14" si="8">IF(M7="－","－","")</f>
        <v/>
      </c>
      <c r="Z7" s="2">
        <f>IF(入力!D8="",様式14!$AQ$5&amp;様式14!$AR$5&amp;ROW(入力!D8)&amp;" 未入力",入力!D8)</f>
        <v>1</v>
      </c>
    </row>
    <row r="8" spans="1:26" ht="33" customHeight="1" x14ac:dyDescent="0.15">
      <c r="A8" s="125"/>
      <c r="B8" s="126"/>
      <c r="C8" s="169"/>
      <c r="D8" s="170"/>
      <c r="E8" s="175"/>
      <c r="F8" s="170"/>
      <c r="G8" s="175"/>
      <c r="H8" s="170"/>
      <c r="I8" s="175"/>
      <c r="J8" s="170"/>
      <c r="K8" s="111"/>
      <c r="L8" s="111"/>
      <c r="M8" s="127"/>
      <c r="N8" s="180" t="str">
        <f t="shared" si="1"/>
        <v/>
      </c>
      <c r="O8" s="179"/>
      <c r="P8" s="178" t="str">
        <f t="shared" si="2"/>
        <v/>
      </c>
      <c r="Q8" s="179"/>
      <c r="R8" s="178" t="str">
        <f t="shared" si="3"/>
        <v/>
      </c>
      <c r="S8" s="179"/>
      <c r="T8" s="178" t="str">
        <f t="shared" si="4"/>
        <v/>
      </c>
      <c r="U8" s="179"/>
      <c r="V8" s="128" t="str">
        <f t="shared" si="5"/>
        <v/>
      </c>
      <c r="W8" s="128" t="str">
        <f t="shared" si="7"/>
        <v/>
      </c>
      <c r="X8" s="129" t="str">
        <f t="shared" si="8"/>
        <v/>
      </c>
      <c r="Z8" s="2" t="str">
        <f>IF(入力!D9="",様式14!$AQ$5&amp;様式14!$AR$5&amp;ROW(入力!D9)&amp;" 未入力",入力!D9)</f>
        <v>同じ</v>
      </c>
    </row>
    <row r="9" spans="1:26" ht="33" customHeight="1" x14ac:dyDescent="0.15">
      <c r="A9" s="125"/>
      <c r="B9" s="126"/>
      <c r="C9" s="169"/>
      <c r="D9" s="170"/>
      <c r="E9" s="175"/>
      <c r="F9" s="170"/>
      <c r="G9" s="175"/>
      <c r="H9" s="170"/>
      <c r="I9" s="175"/>
      <c r="J9" s="170"/>
      <c r="K9" s="111"/>
      <c r="L9" s="111"/>
      <c r="M9" s="127"/>
      <c r="N9" s="180" t="str">
        <f t="shared" si="1"/>
        <v/>
      </c>
      <c r="O9" s="179"/>
      <c r="P9" s="178" t="str">
        <f t="shared" si="2"/>
        <v/>
      </c>
      <c r="Q9" s="179"/>
      <c r="R9" s="178" t="str">
        <f t="shared" si="3"/>
        <v/>
      </c>
      <c r="S9" s="179"/>
      <c r="T9" s="178" t="str">
        <f t="shared" si="4"/>
        <v/>
      </c>
      <c r="U9" s="179"/>
      <c r="V9" s="128" t="str">
        <f t="shared" si="5"/>
        <v/>
      </c>
      <c r="W9" s="128" t="str">
        <f t="shared" si="7"/>
        <v/>
      </c>
      <c r="X9" s="129" t="str">
        <f t="shared" si="8"/>
        <v/>
      </c>
      <c r="Z9" s="2" t="str">
        <f>IF(Z8="同じ","",IF(入力!D10="",様式14!$AQ$5&amp;様式14!$AR$5&amp;ROW(入力!D10)&amp;" 未入力",入力!D10))</f>
        <v/>
      </c>
    </row>
    <row r="10" spans="1:26" ht="33" customHeight="1" x14ac:dyDescent="0.15">
      <c r="A10" s="125"/>
      <c r="B10" s="126"/>
      <c r="C10" s="169"/>
      <c r="D10" s="170"/>
      <c r="E10" s="175"/>
      <c r="F10" s="170"/>
      <c r="G10" s="175"/>
      <c r="H10" s="170"/>
      <c r="I10" s="175"/>
      <c r="J10" s="170"/>
      <c r="K10" s="111"/>
      <c r="L10" s="111"/>
      <c r="M10" s="127"/>
      <c r="N10" s="180" t="str">
        <f t="shared" si="1"/>
        <v/>
      </c>
      <c r="O10" s="179"/>
      <c r="P10" s="178" t="str">
        <f t="shared" si="2"/>
        <v/>
      </c>
      <c r="Q10" s="179"/>
      <c r="R10" s="178" t="str">
        <f t="shared" si="3"/>
        <v/>
      </c>
      <c r="S10" s="179"/>
      <c r="T10" s="178" t="str">
        <f t="shared" si="4"/>
        <v/>
      </c>
      <c r="U10" s="179"/>
      <c r="V10" s="128" t="str">
        <f t="shared" si="5"/>
        <v/>
      </c>
      <c r="W10" s="128" t="str">
        <f t="shared" si="7"/>
        <v/>
      </c>
      <c r="X10" s="129" t="str">
        <f t="shared" si="8"/>
        <v/>
      </c>
      <c r="Z10" s="2" t="str">
        <f>IF(入力!D11="",様式14!$AQ$5&amp;様式14!$AR$5&amp;ROW(入力!D11)&amp;" 未入力",入力!D11)</f>
        <v>同じ</v>
      </c>
    </row>
    <row r="11" spans="1:26" ht="33" customHeight="1" x14ac:dyDescent="0.15">
      <c r="A11" s="125"/>
      <c r="B11" s="126"/>
      <c r="C11" s="169"/>
      <c r="D11" s="170"/>
      <c r="E11" s="175"/>
      <c r="F11" s="170"/>
      <c r="G11" s="175"/>
      <c r="H11" s="170"/>
      <c r="I11" s="175"/>
      <c r="J11" s="170"/>
      <c r="K11" s="111"/>
      <c r="L11" s="111"/>
      <c r="M11" s="127"/>
      <c r="N11" s="180" t="str">
        <f t="shared" si="1"/>
        <v/>
      </c>
      <c r="O11" s="179"/>
      <c r="P11" s="178" t="str">
        <f t="shared" si="2"/>
        <v/>
      </c>
      <c r="Q11" s="179"/>
      <c r="R11" s="178" t="str">
        <f t="shared" si="3"/>
        <v/>
      </c>
      <c r="S11" s="179"/>
      <c r="T11" s="178" t="str">
        <f t="shared" si="4"/>
        <v/>
      </c>
      <c r="U11" s="179"/>
      <c r="V11" s="128" t="str">
        <f t="shared" si="5"/>
        <v/>
      </c>
      <c r="W11" s="128" t="str">
        <f t="shared" si="7"/>
        <v/>
      </c>
      <c r="X11" s="129" t="str">
        <f t="shared" si="8"/>
        <v/>
      </c>
      <c r="Z11" s="2" t="str">
        <f>IF(Z10="同じ","",IF(入力!D12="",様式14!$AQ$5&amp;様式14!$AR$5&amp;ROW(入力!D12)&amp;" 未入力",入力!D12))</f>
        <v/>
      </c>
    </row>
    <row r="12" spans="1:26" ht="33" customHeight="1" x14ac:dyDescent="0.15">
      <c r="A12" s="125"/>
      <c r="B12" s="126"/>
      <c r="C12" s="169"/>
      <c r="D12" s="170"/>
      <c r="E12" s="175"/>
      <c r="F12" s="170"/>
      <c r="G12" s="175"/>
      <c r="H12" s="170"/>
      <c r="I12" s="175"/>
      <c r="J12" s="170"/>
      <c r="K12" s="111"/>
      <c r="L12" s="111"/>
      <c r="M12" s="127"/>
      <c r="N12" s="180" t="str">
        <f t="shared" si="1"/>
        <v/>
      </c>
      <c r="O12" s="179"/>
      <c r="P12" s="178" t="str">
        <f t="shared" si="2"/>
        <v/>
      </c>
      <c r="Q12" s="179"/>
      <c r="R12" s="178" t="str">
        <f t="shared" si="3"/>
        <v/>
      </c>
      <c r="S12" s="179"/>
      <c r="T12" s="178" t="str">
        <f t="shared" si="4"/>
        <v/>
      </c>
      <c r="U12" s="179"/>
      <c r="V12" s="128" t="str">
        <f t="shared" si="5"/>
        <v/>
      </c>
      <c r="W12" s="128" t="str">
        <f t="shared" si="7"/>
        <v/>
      </c>
      <c r="X12" s="129" t="str">
        <f t="shared" si="8"/>
        <v/>
      </c>
      <c r="Z12" s="2" t="str">
        <f>IF(入力!D14="",様式14!$AQ$5&amp;様式14!$AR$5&amp;ROW(入力!D14)&amp;" 未入力",入力!D14)</f>
        <v>規則関係通達第29号により認定を受けることなく業務を行う</v>
      </c>
    </row>
    <row r="13" spans="1:26" ht="33" customHeight="1" x14ac:dyDescent="0.15">
      <c r="A13" s="125"/>
      <c r="B13" s="126"/>
      <c r="C13" s="169"/>
      <c r="D13" s="170"/>
      <c r="E13" s="175"/>
      <c r="F13" s="170"/>
      <c r="G13" s="175"/>
      <c r="H13" s="170"/>
      <c r="I13" s="175"/>
      <c r="J13" s="170"/>
      <c r="K13" s="111"/>
      <c r="L13" s="111"/>
      <c r="M13" s="127"/>
      <c r="N13" s="180" t="str">
        <f t="shared" si="1"/>
        <v/>
      </c>
      <c r="O13" s="179"/>
      <c r="P13" s="178" t="str">
        <f t="shared" si="2"/>
        <v/>
      </c>
      <c r="Q13" s="179"/>
      <c r="R13" s="178" t="str">
        <f t="shared" si="3"/>
        <v/>
      </c>
      <c r="S13" s="179"/>
      <c r="T13" s="178" t="str">
        <f t="shared" si="4"/>
        <v/>
      </c>
      <c r="U13" s="179"/>
      <c r="V13" s="128" t="str">
        <f t="shared" si="5"/>
        <v/>
      </c>
      <c r="W13" s="128" t="str">
        <f t="shared" si="7"/>
        <v/>
      </c>
      <c r="X13" s="129" t="str">
        <f t="shared" si="8"/>
        <v/>
      </c>
      <c r="Z13" s="2" t="str">
        <f>IF(入力!D15="",様式14!$AQ$5&amp;様式14!$AR$5&amp;ROW(入力!D15)&amp;" 未入力",入力!D15)</f>
        <v>容器交換時等供給設備点検の認定を受ける</v>
      </c>
    </row>
    <row r="14" spans="1:26" ht="33" customHeight="1" x14ac:dyDescent="0.15">
      <c r="A14" s="130"/>
      <c r="B14" s="131"/>
      <c r="C14" s="171"/>
      <c r="D14" s="172"/>
      <c r="E14" s="177"/>
      <c r="F14" s="172"/>
      <c r="G14" s="177"/>
      <c r="H14" s="172"/>
      <c r="I14" s="177"/>
      <c r="J14" s="172"/>
      <c r="K14" s="132"/>
      <c r="L14" s="132"/>
      <c r="M14" s="133"/>
      <c r="N14" s="187" t="str">
        <f t="shared" si="1"/>
        <v/>
      </c>
      <c r="O14" s="188"/>
      <c r="P14" s="189" t="str">
        <f t="shared" si="2"/>
        <v/>
      </c>
      <c r="Q14" s="188"/>
      <c r="R14" s="189" t="str">
        <f t="shared" si="3"/>
        <v/>
      </c>
      <c r="S14" s="188"/>
      <c r="T14" s="189" t="str">
        <f t="shared" si="4"/>
        <v/>
      </c>
      <c r="U14" s="188"/>
      <c r="V14" s="134" t="str">
        <f t="shared" si="5"/>
        <v/>
      </c>
      <c r="W14" s="134" t="str">
        <f t="shared" si="7"/>
        <v/>
      </c>
      <c r="X14" s="135" t="str">
        <f t="shared" si="8"/>
        <v/>
      </c>
      <c r="Z14" s="2" t="str">
        <f>IF(入力!D16="",様式14!$AQ$5&amp;様式14!$AR$5&amp;ROW(入力!D16)&amp;" 未入力",入力!D16)</f>
        <v>定期供給設備点検の認定を受ける</v>
      </c>
    </row>
    <row r="15" spans="1:26" ht="13.5" x14ac:dyDescent="0.15">
      <c r="A15" s="185" t="s">
        <v>514</v>
      </c>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Z15" s="2" t="str">
        <f>IF(入力!D17="",様式14!$AQ$5&amp;様式14!$AR$5&amp;ROW(入力!D17)&amp;" 未入力",入力!D17)</f>
        <v>定期消費設備調査の認定を受ける</v>
      </c>
    </row>
    <row r="16" spans="1:26" ht="13.5" x14ac:dyDescent="0.15">
      <c r="A16" s="164" t="s">
        <v>515</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Z16" s="2" t="str">
        <f>IF(入力!D18="",様式14!$AQ$5&amp;様式14!$AR$5&amp;ROW(入力!D18)&amp;" 未入力",入力!D18)</f>
        <v>周知の認定を受ける</v>
      </c>
    </row>
    <row r="17" spans="1:26" ht="13.5" x14ac:dyDescent="0.15">
      <c r="A17" s="164" t="s">
        <v>516</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Z17" s="2" t="str">
        <f>IF(入力!D19="",様式14!$AQ$5&amp;様式14!$AR$5&amp;ROW(入力!D19)&amp;" 未入力",入力!D19)</f>
        <v>緊急時対応の認定を受ける</v>
      </c>
    </row>
    <row r="18" spans="1:26" ht="13.5" x14ac:dyDescent="0.15">
      <c r="A18" s="164" t="s">
        <v>535</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Z18" s="2" t="str">
        <f>IF(入力!D20="",様式14!$AQ$5&amp;様式14!$AR$5&amp;ROW(入力!D20)&amp;" 未入力",入力!D20)</f>
        <v>規則関係通達第29号により認定を受けることなく業務を行う</v>
      </c>
    </row>
    <row r="19" spans="1:26" ht="13.5" x14ac:dyDescent="0.15">
      <c r="A19" s="164" t="s">
        <v>536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Z19" s="2" t="str">
        <f>IF(COUNTIF(Z12,"*の認定を受ける*"),IF(入力!D21="",様式14!$AQ$5&amp;様式14!$AR$5&amp;ROW(入力!D21)&amp;" 未入力",入力!D21),"")</f>
        <v/>
      </c>
    </row>
    <row r="20" spans="1:26" ht="13.5" x14ac:dyDescent="0.15">
      <c r="A20" s="164" t="s">
        <v>517</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Z20" s="2">
        <f>IF(COUNTIF(Z13,"*の認定を受ける*"),IF(入力!D22="",様式14!$AQ$5&amp;様式14!$AR$5&amp;ROW(入力!D22)&amp;" 未入力",入力!D22),"")</f>
        <v>500</v>
      </c>
    </row>
    <row r="21" spans="1:26" x14ac:dyDescent="0.15">
      <c r="Z21" s="2">
        <f>IF(COUNTIF(Z14,"*の認定を受ける*"),IF(入力!D23="",様式14!$AQ$5&amp;様式14!$AR$5&amp;ROW(入力!D23)&amp;" 未入力",入力!D23),"")</f>
        <v>500</v>
      </c>
    </row>
    <row r="22" spans="1:26" x14ac:dyDescent="0.15">
      <c r="Z22" s="2">
        <f>IF(COUNTIF(Z15,"*の認定を受ける*"),IF(入力!D24="",様式14!$AQ$5&amp;様式14!$AR$5&amp;ROW(入力!D24)&amp;" 未入力",入力!D24),"")</f>
        <v>500</v>
      </c>
    </row>
    <row r="23" spans="1:26" x14ac:dyDescent="0.15">
      <c r="Z23" s="2">
        <f>IF(COUNTIF(Z16,"*の認定を受ける*"),IF(入力!D25="",様式14!$AQ$5&amp;様式14!$AR$5&amp;ROW(入力!D25)&amp;" 未入力",入力!D25),"")</f>
        <v>500</v>
      </c>
    </row>
    <row r="24" spans="1:26" x14ac:dyDescent="0.15">
      <c r="Z24" s="2">
        <f>IF(COUNTIF(Z17,"*の認定を受ける*"),IF(入力!D26="",様式14!$AQ$5&amp;様式14!$AR$5&amp;ROW(入力!D26)&amp;" 未入力",入力!D26),"")</f>
        <v>500</v>
      </c>
    </row>
    <row r="25" spans="1:26" x14ac:dyDescent="0.15">
      <c r="Z25" s="2" t="str">
        <f>IF(COUNTIF(Z18,"*の認定を受ける*"),IF(入力!D27="",様式14!$AQ$5&amp;様式14!$AR$5&amp;ROW(入力!D27)&amp;" 未入力",入力!D27),"")</f>
        <v/>
      </c>
    </row>
  </sheetData>
  <sheetProtection sheet="1" objects="1" scenarios="1" formatCells="0" formatColumns="0" formatRows="0" insertRows="0" deleteRows="0"/>
  <mergeCells count="90">
    <mergeCell ref="A17:X17"/>
    <mergeCell ref="A18:X18"/>
    <mergeCell ref="A19:X19"/>
    <mergeCell ref="A20:X20"/>
    <mergeCell ref="A3:B3"/>
    <mergeCell ref="C3:M3"/>
    <mergeCell ref="N3:X3"/>
    <mergeCell ref="P12:Q12"/>
    <mergeCell ref="R12:S12"/>
    <mergeCell ref="T12:U12"/>
    <mergeCell ref="R9:S9"/>
    <mergeCell ref="T9:U9"/>
    <mergeCell ref="N10:O10"/>
    <mergeCell ref="P10:Q10"/>
    <mergeCell ref="R10:S10"/>
    <mergeCell ref="T10:U10"/>
    <mergeCell ref="B1:X1"/>
    <mergeCell ref="A15:X15"/>
    <mergeCell ref="A16:X16"/>
    <mergeCell ref="N13:O13"/>
    <mergeCell ref="P13:Q13"/>
    <mergeCell ref="R13:S13"/>
    <mergeCell ref="T13:U13"/>
    <mergeCell ref="N14:O14"/>
    <mergeCell ref="P14:Q14"/>
    <mergeCell ref="R14:S14"/>
    <mergeCell ref="T14:U14"/>
    <mergeCell ref="N11:O11"/>
    <mergeCell ref="P11:Q11"/>
    <mergeCell ref="R11:S11"/>
    <mergeCell ref="T11:U11"/>
    <mergeCell ref="N12:O12"/>
    <mergeCell ref="T7:U7"/>
    <mergeCell ref="N8:O8"/>
    <mergeCell ref="P8:Q8"/>
    <mergeCell ref="R8:S8"/>
    <mergeCell ref="T8:U8"/>
    <mergeCell ref="P7:Q7"/>
    <mergeCell ref="N7:O7"/>
    <mergeCell ref="T5:U5"/>
    <mergeCell ref="N6:O6"/>
    <mergeCell ref="P6:Q6"/>
    <mergeCell ref="R6:S6"/>
    <mergeCell ref="T6:U6"/>
    <mergeCell ref="P5:Q5"/>
    <mergeCell ref="N5:O5"/>
    <mergeCell ref="I5:J5"/>
    <mergeCell ref="I6:J6"/>
    <mergeCell ref="I7:J7"/>
    <mergeCell ref="I8:J8"/>
    <mergeCell ref="R5:S5"/>
    <mergeCell ref="R7:S7"/>
    <mergeCell ref="P9:Q9"/>
    <mergeCell ref="G11:H11"/>
    <mergeCell ref="G12:H12"/>
    <mergeCell ref="G13:H13"/>
    <mergeCell ref="G14:H14"/>
    <mergeCell ref="I9:J9"/>
    <mergeCell ref="I10:J10"/>
    <mergeCell ref="I11:J11"/>
    <mergeCell ref="I12:J12"/>
    <mergeCell ref="I13:J13"/>
    <mergeCell ref="I14:J14"/>
    <mergeCell ref="N9:O9"/>
    <mergeCell ref="E11:F11"/>
    <mergeCell ref="E12:F12"/>
    <mergeCell ref="E13:F13"/>
    <mergeCell ref="E14:F14"/>
    <mergeCell ref="G5:H5"/>
    <mergeCell ref="G6:H6"/>
    <mergeCell ref="G7:H7"/>
    <mergeCell ref="G8:H8"/>
    <mergeCell ref="G9:H9"/>
    <mergeCell ref="G10:H10"/>
    <mergeCell ref="C11:D11"/>
    <mergeCell ref="C12:D12"/>
    <mergeCell ref="C13:D13"/>
    <mergeCell ref="C14:D14"/>
    <mergeCell ref="E5:F5"/>
    <mergeCell ref="E6:F6"/>
    <mergeCell ref="E7:F7"/>
    <mergeCell ref="E8:F8"/>
    <mergeCell ref="E9:F9"/>
    <mergeCell ref="E10:F10"/>
    <mergeCell ref="C5:D5"/>
    <mergeCell ref="C6:D6"/>
    <mergeCell ref="C7:D7"/>
    <mergeCell ref="C8:D8"/>
    <mergeCell ref="C9:D9"/>
    <mergeCell ref="C10:D10"/>
  </mergeCells>
  <phoneticPr fontId="1"/>
  <conditionalFormatting sqref="A5:X14">
    <cfRule type="expression" dxfId="113" priority="1025">
      <formula>AND(A5="",ROWS(A$5:A5)&lt;=$Z$7)</formula>
    </cfRule>
  </conditionalFormatting>
  <conditionalFormatting sqref="B1:X1">
    <cfRule type="expression" dxfId="112" priority="1">
      <formula>B1="未入力あり"</formula>
    </cfRule>
  </conditionalFormatting>
  <conditionalFormatting sqref="Z1:Z300">
    <cfRule type="expression" dxfId="111" priority="3">
      <formula>_xlfn.ISFORMULA(Z1)</formula>
    </cfRule>
  </conditionalFormatting>
  <dataValidations disablePrompts="1" count="2">
    <dataValidation type="list" allowBlank="1" showInputMessage="1" showErrorMessage="1" sqref="C5:M14" xr:uid="{00000000-0002-0000-0300-000000000000}">
      <formula1>"－,○"</formula1>
    </dataValidation>
    <dataValidation type="list" allowBlank="1" showInputMessage="1" prompt="認定を受けない場合は「－」を記載" sqref="N5:X14" xr:uid="{00000000-0002-0000-0300-000001000000}">
      <formula1>"－"</formula1>
    </dataValidation>
  </dataValidations>
  <pageMargins left="0.39370078740157483" right="0.39370078740157483" top="0.78740157480314965" bottom="0.78740157480314965"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AQ56"/>
  <sheetViews>
    <sheetView tabSelected="1" workbookViewId="0">
      <selection sqref="A1:AO1"/>
    </sheetView>
  </sheetViews>
  <sheetFormatPr defaultColWidth="8.75" defaultRowHeight="12.75" x14ac:dyDescent="0.15"/>
  <cols>
    <col min="1" max="40" width="2.125" style="2" customWidth="1"/>
    <col min="41" max="41" width="2.875" style="2" customWidth="1"/>
    <col min="42" max="16384" width="8.75" style="2"/>
  </cols>
  <sheetData>
    <row r="1" spans="1:43" ht="18.600000000000001" customHeight="1" x14ac:dyDescent="0.15">
      <c r="A1" s="204" t="str">
        <f>IF(COUNTIF(AQ1:AQ100,"*未入力*"),"未入力あり","滋賀県収入証紙貼付書")</f>
        <v>滋賀県収入証紙貼付書</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row>
    <row r="2" spans="1:43" ht="18.600000000000001" customHeight="1" x14ac:dyDescent="0.15">
      <c r="A2" s="207" t="s">
        <v>405</v>
      </c>
      <c r="B2" s="208"/>
      <c r="C2" s="208"/>
      <c r="D2" s="208"/>
      <c r="E2" s="208"/>
      <c r="F2" s="208"/>
      <c r="G2" s="208"/>
      <c r="H2" s="200" t="str">
        <f>AQ5</f>
        <v>○○株式会社</v>
      </c>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row>
    <row r="3" spans="1:43" ht="18.600000000000001" customHeight="1" x14ac:dyDescent="0.15">
      <c r="A3" s="207" t="s">
        <v>406</v>
      </c>
      <c r="B3" s="208"/>
      <c r="C3" s="208"/>
      <c r="D3" s="208"/>
      <c r="E3" s="208"/>
      <c r="F3" s="208"/>
      <c r="G3" s="208"/>
      <c r="H3" s="209">
        <f>AQ6</f>
        <v>45200</v>
      </c>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row>
    <row r="4" spans="1:43" ht="18.600000000000001" customHeight="1" x14ac:dyDescent="0.15">
      <c r="A4" s="207" t="s">
        <v>407</v>
      </c>
      <c r="B4" s="208"/>
      <c r="C4" s="208"/>
      <c r="D4" s="208"/>
      <c r="E4" s="208"/>
      <c r="F4" s="208"/>
      <c r="G4" s="208"/>
      <c r="H4" s="200" t="str">
        <f>様式14!A8</f>
        <v>保安機関認定更新申請書</v>
      </c>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row>
    <row r="5" spans="1:43" ht="18.600000000000001" customHeight="1" x14ac:dyDescent="0.15">
      <c r="A5" s="207" t="s">
        <v>408</v>
      </c>
      <c r="B5" s="208"/>
      <c r="C5" s="208"/>
      <c r="D5" s="208"/>
      <c r="E5" s="208"/>
      <c r="F5" s="208"/>
      <c r="G5" s="208"/>
      <c r="H5" s="202">
        <f>AQ7</f>
        <v>48500</v>
      </c>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Q5" s="2" t="str">
        <f>IF(入力!D5="",様式14!$AQ$5&amp;様式14!$AR$5&amp;ROW(入力!D5)&amp;" 未入力",入力!D5)</f>
        <v>○○株式会社</v>
      </c>
    </row>
    <row r="6" spans="1:43" ht="18.600000000000001" customHeight="1" x14ac:dyDescent="0.15">
      <c r="A6" s="194" t="s">
        <v>409</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6"/>
      <c r="AQ6" s="2">
        <f>IF(入力!D2="",様式14!$AQ$5&amp;様式14!$AR$5&amp;ROW(入力!D2)&amp;" 未入力",入力!D2)</f>
        <v>45200</v>
      </c>
    </row>
    <row r="7" spans="1:43" ht="18.600000000000001" customHeight="1" x14ac:dyDescent="0.15">
      <c r="A7" s="197" t="s">
        <v>410</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9"/>
      <c r="AQ7" s="2">
        <f>IF(入力!D110="",様式14!$AQ$5&amp;様式14!$AR$5&amp;ROW(入力!D110)&amp;" 未入力",入力!D110)</f>
        <v>48500</v>
      </c>
    </row>
    <row r="8" spans="1:43" ht="18.600000000000001" customHeight="1" x14ac:dyDescent="0.15">
      <c r="A8" s="80" t="s">
        <v>411</v>
      </c>
      <c r="AO8" s="79"/>
    </row>
    <row r="9" spans="1:43" ht="18.600000000000001" customHeight="1" x14ac:dyDescent="0.15">
      <c r="A9" s="78"/>
      <c r="H9"/>
      <c r="I9" s="76"/>
      <c r="J9" s="76"/>
      <c r="K9" s="76"/>
      <c r="L9" s="76"/>
      <c r="M9" s="76"/>
      <c r="N9" s="76"/>
      <c r="O9" s="76"/>
      <c r="P9" s="76"/>
      <c r="Q9" s="76"/>
      <c r="R9" s="76"/>
      <c r="S9" s="76"/>
      <c r="T9" s="76"/>
      <c r="U9" s="84"/>
      <c r="V9" s="76"/>
      <c r="W9" s="76"/>
      <c r="X9" s="76"/>
      <c r="Y9" s="76"/>
      <c r="Z9" s="76"/>
      <c r="AA9" s="76"/>
      <c r="AB9" s="76"/>
      <c r="AC9" s="76"/>
      <c r="AD9" s="76"/>
      <c r="AE9" s="76"/>
      <c r="AF9" s="76"/>
      <c r="AG9"/>
      <c r="AH9"/>
      <c r="AO9" s="79"/>
    </row>
    <row r="10" spans="1:43" ht="21" customHeight="1" x14ac:dyDescent="0.15">
      <c r="A10" s="78"/>
      <c r="G10"/>
      <c r="H10" s="74"/>
      <c r="I10" s="87"/>
      <c r="J10" s="71"/>
      <c r="K10" s="71"/>
      <c r="L10" s="71"/>
      <c r="M10" s="71"/>
      <c r="N10" s="71"/>
      <c r="O10" s="71"/>
      <c r="P10" s="71"/>
      <c r="Q10" s="71"/>
      <c r="R10" s="71"/>
      <c r="S10" s="71"/>
      <c r="T10" s="72"/>
      <c r="U10" s="87"/>
      <c r="V10" s="71"/>
      <c r="W10" s="71"/>
      <c r="X10" s="71"/>
      <c r="Y10" s="71"/>
      <c r="Z10" s="71"/>
      <c r="AA10" s="71"/>
      <c r="AB10" s="71"/>
      <c r="AC10" s="71"/>
      <c r="AD10" s="71"/>
      <c r="AE10" s="71"/>
      <c r="AF10" s="72"/>
      <c r="AG10" s="73"/>
      <c r="AH10"/>
      <c r="AO10" s="79"/>
    </row>
    <row r="11" spans="1:43" ht="21" customHeight="1" x14ac:dyDescent="0.15">
      <c r="A11" s="78"/>
      <c r="G11"/>
      <c r="H11" s="74"/>
      <c r="I11" s="73"/>
      <c r="J11"/>
      <c r="K11"/>
      <c r="L11"/>
      <c r="M11"/>
      <c r="N11"/>
      <c r="O11"/>
      <c r="P11"/>
      <c r="Q11"/>
      <c r="R11"/>
      <c r="S11"/>
      <c r="T11" s="74"/>
      <c r="U11" s="73"/>
      <c r="V11"/>
      <c r="W11"/>
      <c r="X11"/>
      <c r="Y11"/>
      <c r="Z11"/>
      <c r="AA11"/>
      <c r="AB11"/>
      <c r="AC11"/>
      <c r="AD11"/>
      <c r="AE11"/>
      <c r="AF11" s="74"/>
      <c r="AG11" s="73"/>
      <c r="AH11"/>
      <c r="AO11" s="79"/>
    </row>
    <row r="12" spans="1:43" ht="21" customHeight="1" x14ac:dyDescent="0.15">
      <c r="A12" s="78"/>
      <c r="G12"/>
      <c r="H12" s="74"/>
      <c r="I12" s="73"/>
      <c r="J12"/>
      <c r="K12"/>
      <c r="L12"/>
      <c r="M12"/>
      <c r="N12"/>
      <c r="O12"/>
      <c r="P12"/>
      <c r="Q12"/>
      <c r="R12"/>
      <c r="S12"/>
      <c r="T12" s="74"/>
      <c r="U12" s="73"/>
      <c r="V12"/>
      <c r="W12"/>
      <c r="X12"/>
      <c r="Y12"/>
      <c r="Z12"/>
      <c r="AA12"/>
      <c r="AB12"/>
      <c r="AC12"/>
      <c r="AD12"/>
      <c r="AE12"/>
      <c r="AF12" s="74"/>
      <c r="AG12" s="73"/>
      <c r="AH12"/>
      <c r="AO12" s="79"/>
    </row>
    <row r="13" spans="1:43" ht="21" customHeight="1" x14ac:dyDescent="0.15">
      <c r="A13" s="78"/>
      <c r="G13"/>
      <c r="H13" s="74"/>
      <c r="I13" s="75"/>
      <c r="J13" s="76"/>
      <c r="K13" s="76"/>
      <c r="L13" s="76"/>
      <c r="M13" s="76"/>
      <c r="N13" s="76"/>
      <c r="O13" s="76"/>
      <c r="P13" s="76"/>
      <c r="Q13" s="76"/>
      <c r="R13" s="76"/>
      <c r="S13" s="76"/>
      <c r="T13" s="77"/>
      <c r="U13" s="75"/>
      <c r="V13" s="76"/>
      <c r="W13" s="76"/>
      <c r="X13" s="76"/>
      <c r="Y13" s="76"/>
      <c r="Z13" s="76"/>
      <c r="AA13" s="76"/>
      <c r="AB13" s="76"/>
      <c r="AC13" s="76"/>
      <c r="AD13" s="76"/>
      <c r="AE13" s="76"/>
      <c r="AF13" s="77"/>
      <c r="AG13" s="73"/>
      <c r="AH13"/>
      <c r="AO13" s="79"/>
    </row>
    <row r="14" spans="1:43" ht="21" customHeight="1" x14ac:dyDescent="0.15">
      <c r="A14" s="78"/>
      <c r="H14" s="74"/>
      <c r="I14" s="87"/>
      <c r="J14" s="71"/>
      <c r="K14" s="71"/>
      <c r="L14" s="71"/>
      <c r="M14" s="71"/>
      <c r="N14" s="71"/>
      <c r="O14" s="71"/>
      <c r="P14" s="71"/>
      <c r="Q14" s="71"/>
      <c r="R14" s="71"/>
      <c r="S14" s="71"/>
      <c r="T14" s="72"/>
      <c r="U14" s="13"/>
      <c r="V14" s="71"/>
      <c r="W14" s="71"/>
      <c r="X14" s="71"/>
      <c r="Y14" s="71"/>
      <c r="Z14" s="71"/>
      <c r="AA14" s="71"/>
      <c r="AB14" s="71"/>
      <c r="AC14" s="71"/>
      <c r="AD14" s="71"/>
      <c r="AE14" s="71"/>
      <c r="AF14" s="72"/>
      <c r="AG14" s="73"/>
      <c r="AH14"/>
      <c r="AO14" s="79"/>
    </row>
    <row r="15" spans="1:43" ht="21" customHeight="1" x14ac:dyDescent="0.15">
      <c r="A15" s="78"/>
      <c r="G15"/>
      <c r="H15" s="74"/>
      <c r="I15" s="73"/>
      <c r="J15"/>
      <c r="K15"/>
      <c r="L15"/>
      <c r="M15"/>
      <c r="N15"/>
      <c r="O15"/>
      <c r="P15"/>
      <c r="Q15"/>
      <c r="R15"/>
      <c r="S15"/>
      <c r="T15" s="74"/>
      <c r="U15" s="73"/>
      <c r="V15"/>
      <c r="W15"/>
      <c r="X15"/>
      <c r="Y15"/>
      <c r="Z15"/>
      <c r="AA15"/>
      <c r="AB15"/>
      <c r="AC15"/>
      <c r="AD15"/>
      <c r="AE15"/>
      <c r="AF15" s="74"/>
      <c r="AG15" s="73"/>
      <c r="AH15"/>
      <c r="AO15" s="79"/>
    </row>
    <row r="16" spans="1:43" ht="21" customHeight="1" x14ac:dyDescent="0.15">
      <c r="A16" s="78"/>
      <c r="G16"/>
      <c r="H16" s="74"/>
      <c r="I16" s="73"/>
      <c r="J16"/>
      <c r="K16"/>
      <c r="L16"/>
      <c r="M16"/>
      <c r="N16"/>
      <c r="O16"/>
      <c r="P16"/>
      <c r="Q16"/>
      <c r="R16"/>
      <c r="S16"/>
      <c r="T16" s="74"/>
      <c r="U16" s="73"/>
      <c r="V16"/>
      <c r="W16"/>
      <c r="X16"/>
      <c r="Y16"/>
      <c r="Z16"/>
      <c r="AA16"/>
      <c r="AB16"/>
      <c r="AC16"/>
      <c r="AD16"/>
      <c r="AE16"/>
      <c r="AF16" s="74"/>
      <c r="AG16" s="73"/>
      <c r="AH16"/>
      <c r="AO16" s="79"/>
    </row>
    <row r="17" spans="1:41" ht="21" customHeight="1" x14ac:dyDescent="0.15">
      <c r="A17" s="78"/>
      <c r="G17"/>
      <c r="H17" s="74"/>
      <c r="I17" s="75"/>
      <c r="J17" s="76"/>
      <c r="K17" s="76"/>
      <c r="L17" s="76"/>
      <c r="M17" s="76"/>
      <c r="N17" s="76"/>
      <c r="O17" s="76"/>
      <c r="P17" s="76"/>
      <c r="Q17" s="76"/>
      <c r="R17" s="76"/>
      <c r="S17" s="76"/>
      <c r="T17" s="77"/>
      <c r="U17" s="75"/>
      <c r="V17" s="76"/>
      <c r="W17" s="76"/>
      <c r="X17" s="76"/>
      <c r="Y17" s="76"/>
      <c r="Z17" s="76"/>
      <c r="AA17" s="76"/>
      <c r="AB17" s="76"/>
      <c r="AC17" s="76"/>
      <c r="AD17" s="76"/>
      <c r="AE17" s="76"/>
      <c r="AF17" s="77"/>
      <c r="AG17" s="73"/>
      <c r="AH17"/>
      <c r="AO17" s="79"/>
    </row>
    <row r="18" spans="1:41" ht="21" customHeight="1" x14ac:dyDescent="0.15">
      <c r="A18" s="78"/>
      <c r="H18" s="74"/>
      <c r="I18" s="87"/>
      <c r="J18" s="71"/>
      <c r="K18" s="71"/>
      <c r="L18" s="71"/>
      <c r="M18" s="71"/>
      <c r="N18" s="71"/>
      <c r="O18" s="71"/>
      <c r="P18" s="71"/>
      <c r="Q18" s="71"/>
      <c r="R18" s="71"/>
      <c r="S18" s="71"/>
      <c r="T18" s="72"/>
      <c r="U18" s="13"/>
      <c r="V18" s="71"/>
      <c r="W18" s="71"/>
      <c r="X18" s="71"/>
      <c r="Y18" s="71"/>
      <c r="Z18" s="71"/>
      <c r="AA18" s="71"/>
      <c r="AB18" s="71"/>
      <c r="AC18" s="71"/>
      <c r="AD18" s="71"/>
      <c r="AE18" s="71"/>
      <c r="AF18" s="72"/>
      <c r="AG18" s="73"/>
      <c r="AH18"/>
      <c r="AO18" s="79"/>
    </row>
    <row r="19" spans="1:41" ht="21" customHeight="1" x14ac:dyDescent="0.15">
      <c r="A19" s="78"/>
      <c r="G19"/>
      <c r="H19" s="74"/>
      <c r="I19" s="73"/>
      <c r="J19"/>
      <c r="K19"/>
      <c r="L19"/>
      <c r="M19"/>
      <c r="N19"/>
      <c r="O19"/>
      <c r="P19"/>
      <c r="Q19"/>
      <c r="R19"/>
      <c r="S19"/>
      <c r="T19" s="74"/>
      <c r="U19" s="73"/>
      <c r="V19"/>
      <c r="W19"/>
      <c r="X19"/>
      <c r="Y19"/>
      <c r="Z19"/>
      <c r="AA19"/>
      <c r="AB19"/>
      <c r="AC19"/>
      <c r="AD19"/>
      <c r="AE19"/>
      <c r="AF19" s="74"/>
      <c r="AG19" s="73"/>
      <c r="AH19"/>
      <c r="AO19" s="79"/>
    </row>
    <row r="20" spans="1:41" ht="21" customHeight="1" x14ac:dyDescent="0.15">
      <c r="A20" s="78"/>
      <c r="G20"/>
      <c r="H20" s="74"/>
      <c r="I20" s="73"/>
      <c r="J20"/>
      <c r="K20"/>
      <c r="L20"/>
      <c r="M20"/>
      <c r="N20"/>
      <c r="O20"/>
      <c r="P20"/>
      <c r="Q20"/>
      <c r="R20"/>
      <c r="S20"/>
      <c r="T20" s="74"/>
      <c r="U20" s="73"/>
      <c r="V20"/>
      <c r="W20"/>
      <c r="X20"/>
      <c r="Y20"/>
      <c r="Z20"/>
      <c r="AA20"/>
      <c r="AB20"/>
      <c r="AC20"/>
      <c r="AD20"/>
      <c r="AE20"/>
      <c r="AF20" s="74"/>
      <c r="AG20" s="73"/>
      <c r="AH20"/>
      <c r="AO20" s="79"/>
    </row>
    <row r="21" spans="1:41" ht="21" customHeight="1" x14ac:dyDescent="0.15">
      <c r="A21" s="78"/>
      <c r="G21"/>
      <c r="H21" s="74"/>
      <c r="I21" s="75"/>
      <c r="J21" s="76"/>
      <c r="K21" s="76"/>
      <c r="L21" s="76"/>
      <c r="M21" s="76"/>
      <c r="N21" s="76"/>
      <c r="O21" s="76"/>
      <c r="P21" s="76"/>
      <c r="Q21" s="76"/>
      <c r="R21" s="76"/>
      <c r="S21" s="76"/>
      <c r="T21" s="77"/>
      <c r="U21" s="75"/>
      <c r="V21" s="76"/>
      <c r="W21" s="76"/>
      <c r="X21" s="76"/>
      <c r="Y21" s="76"/>
      <c r="Z21" s="76"/>
      <c r="AA21" s="76"/>
      <c r="AB21" s="76"/>
      <c r="AC21" s="76"/>
      <c r="AD21" s="76"/>
      <c r="AE21" s="76"/>
      <c r="AF21" s="77"/>
      <c r="AG21" s="73"/>
      <c r="AH21"/>
      <c r="AO21" s="79"/>
    </row>
    <row r="22" spans="1:41" ht="21" customHeight="1" x14ac:dyDescent="0.15">
      <c r="A22" s="78"/>
      <c r="H22" s="74"/>
      <c r="I22" s="87"/>
      <c r="J22" s="71"/>
      <c r="K22" s="71"/>
      <c r="L22" s="71"/>
      <c r="M22" s="71"/>
      <c r="N22" s="71"/>
      <c r="O22" s="71"/>
      <c r="P22" s="71"/>
      <c r="Q22" s="71"/>
      <c r="R22" s="71"/>
      <c r="S22" s="71"/>
      <c r="T22" s="72"/>
      <c r="U22" s="13"/>
      <c r="V22" s="71"/>
      <c r="W22" s="71"/>
      <c r="X22" s="71"/>
      <c r="Y22" s="71"/>
      <c r="Z22" s="71"/>
      <c r="AA22" s="71"/>
      <c r="AB22" s="71"/>
      <c r="AC22" s="71"/>
      <c r="AD22" s="71"/>
      <c r="AE22" s="71"/>
      <c r="AF22" s="72"/>
      <c r="AG22" s="73"/>
      <c r="AH22"/>
      <c r="AO22" s="79"/>
    </row>
    <row r="23" spans="1:41" ht="21" customHeight="1" x14ac:dyDescent="0.15">
      <c r="A23" s="78"/>
      <c r="G23"/>
      <c r="H23" s="74"/>
      <c r="I23" s="73"/>
      <c r="J23"/>
      <c r="K23"/>
      <c r="L23"/>
      <c r="M23"/>
      <c r="N23"/>
      <c r="O23"/>
      <c r="P23"/>
      <c r="Q23"/>
      <c r="R23"/>
      <c r="S23"/>
      <c r="T23" s="74"/>
      <c r="U23" s="73"/>
      <c r="V23"/>
      <c r="W23"/>
      <c r="X23"/>
      <c r="Y23"/>
      <c r="Z23"/>
      <c r="AA23"/>
      <c r="AB23"/>
      <c r="AC23"/>
      <c r="AD23"/>
      <c r="AE23"/>
      <c r="AF23" s="74"/>
      <c r="AG23" s="73"/>
      <c r="AH23"/>
      <c r="AO23" s="79"/>
    </row>
    <row r="24" spans="1:41" ht="21" customHeight="1" x14ac:dyDescent="0.15">
      <c r="A24" s="78"/>
      <c r="G24"/>
      <c r="H24" s="74"/>
      <c r="I24" s="73"/>
      <c r="J24"/>
      <c r="K24"/>
      <c r="L24"/>
      <c r="M24"/>
      <c r="N24"/>
      <c r="O24"/>
      <c r="P24"/>
      <c r="Q24"/>
      <c r="R24"/>
      <c r="S24"/>
      <c r="T24" s="74"/>
      <c r="U24" s="73"/>
      <c r="V24"/>
      <c r="W24"/>
      <c r="X24"/>
      <c r="Y24"/>
      <c r="Z24"/>
      <c r="AA24"/>
      <c r="AB24"/>
      <c r="AC24"/>
      <c r="AD24"/>
      <c r="AE24"/>
      <c r="AF24" s="74"/>
      <c r="AG24" s="73"/>
      <c r="AH24"/>
      <c r="AO24" s="79"/>
    </row>
    <row r="25" spans="1:41" ht="21" customHeight="1" x14ac:dyDescent="0.15">
      <c r="A25" s="78"/>
      <c r="G25"/>
      <c r="H25" s="74"/>
      <c r="I25" s="75"/>
      <c r="J25" s="76"/>
      <c r="K25" s="76"/>
      <c r="L25" s="76"/>
      <c r="M25" s="76"/>
      <c r="N25" s="76"/>
      <c r="O25" s="76"/>
      <c r="P25" s="76"/>
      <c r="Q25" s="76"/>
      <c r="R25" s="76"/>
      <c r="S25" s="76"/>
      <c r="T25" s="77"/>
      <c r="U25" s="75"/>
      <c r="V25" s="76"/>
      <c r="W25" s="76"/>
      <c r="X25" s="76"/>
      <c r="Y25" s="76"/>
      <c r="Z25" s="76"/>
      <c r="AA25" s="76"/>
      <c r="AB25" s="76"/>
      <c r="AC25" s="76"/>
      <c r="AD25" s="76"/>
      <c r="AE25" s="76"/>
      <c r="AF25" s="77"/>
      <c r="AG25" s="73"/>
      <c r="AH25"/>
      <c r="AO25" s="79"/>
    </row>
    <row r="26" spans="1:41" ht="21" customHeight="1" x14ac:dyDescent="0.15">
      <c r="A26" s="78"/>
      <c r="G26"/>
      <c r="H26" s="74"/>
      <c r="I26" s="73"/>
      <c r="J26"/>
      <c r="K26"/>
      <c r="L26"/>
      <c r="M26"/>
      <c r="N26"/>
      <c r="O26"/>
      <c r="P26"/>
      <c r="Q26"/>
      <c r="R26"/>
      <c r="S26"/>
      <c r="T26" s="74"/>
      <c r="U26" s="73"/>
      <c r="V26"/>
      <c r="W26"/>
      <c r="X26"/>
      <c r="Y26"/>
      <c r="Z26"/>
      <c r="AA26"/>
      <c r="AB26"/>
      <c r="AC26"/>
      <c r="AD26"/>
      <c r="AE26"/>
      <c r="AF26" s="74"/>
      <c r="AG26" s="73"/>
      <c r="AH26"/>
      <c r="AO26" s="79"/>
    </row>
    <row r="27" spans="1:41" ht="21" customHeight="1" x14ac:dyDescent="0.15">
      <c r="A27" s="78"/>
      <c r="G27"/>
      <c r="H27" s="74"/>
      <c r="I27" s="73"/>
      <c r="J27"/>
      <c r="K27"/>
      <c r="L27"/>
      <c r="M27"/>
      <c r="N27"/>
      <c r="O27"/>
      <c r="P27"/>
      <c r="Q27"/>
      <c r="R27"/>
      <c r="S27"/>
      <c r="T27" s="74"/>
      <c r="U27" s="73"/>
      <c r="V27"/>
      <c r="W27"/>
      <c r="X27"/>
      <c r="Y27"/>
      <c r="Z27"/>
      <c r="AA27"/>
      <c r="AB27"/>
      <c r="AC27"/>
      <c r="AD27"/>
      <c r="AE27"/>
      <c r="AF27" s="74"/>
      <c r="AG27" s="73"/>
      <c r="AH27"/>
      <c r="AO27" s="79"/>
    </row>
    <row r="28" spans="1:41" ht="21" customHeight="1" x14ac:dyDescent="0.15">
      <c r="A28" s="78"/>
      <c r="G28"/>
      <c r="H28" s="74"/>
      <c r="I28" s="73"/>
      <c r="J28"/>
      <c r="K28"/>
      <c r="L28"/>
      <c r="M28"/>
      <c r="N28"/>
      <c r="O28"/>
      <c r="P28"/>
      <c r="Q28"/>
      <c r="R28"/>
      <c r="S28"/>
      <c r="T28" s="74"/>
      <c r="U28" s="73"/>
      <c r="V28"/>
      <c r="W28"/>
      <c r="X28"/>
      <c r="Y28"/>
      <c r="Z28"/>
      <c r="AA28"/>
      <c r="AB28"/>
      <c r="AC28"/>
      <c r="AD28"/>
      <c r="AE28"/>
      <c r="AF28" s="74"/>
      <c r="AG28" s="73"/>
      <c r="AH28"/>
      <c r="AO28" s="79"/>
    </row>
    <row r="29" spans="1:41" ht="21" customHeight="1" x14ac:dyDescent="0.15">
      <c r="A29" s="78"/>
      <c r="G29"/>
      <c r="H29" s="74"/>
      <c r="I29" s="73"/>
      <c r="J29"/>
      <c r="K29"/>
      <c r="L29"/>
      <c r="M29"/>
      <c r="N29"/>
      <c r="O29"/>
      <c r="P29"/>
      <c r="Q29"/>
      <c r="R29"/>
      <c r="S29"/>
      <c r="T29" s="74"/>
      <c r="U29" s="73"/>
      <c r="V29"/>
      <c r="W29"/>
      <c r="X29"/>
      <c r="Y29"/>
      <c r="Z29"/>
      <c r="AA29"/>
      <c r="AB29"/>
      <c r="AC29"/>
      <c r="AD29"/>
      <c r="AE29"/>
      <c r="AF29" s="74"/>
      <c r="AG29" s="73"/>
      <c r="AH29"/>
      <c r="AO29" s="79"/>
    </row>
    <row r="30" spans="1:41" ht="21" customHeight="1" x14ac:dyDescent="0.15">
      <c r="A30" s="78"/>
      <c r="H30" s="74"/>
      <c r="I30" s="87"/>
      <c r="J30" s="71"/>
      <c r="K30" s="71"/>
      <c r="L30" s="71"/>
      <c r="M30" s="71"/>
      <c r="N30" s="71"/>
      <c r="O30" s="71"/>
      <c r="P30" s="71"/>
      <c r="Q30" s="71"/>
      <c r="R30" s="71"/>
      <c r="S30" s="71"/>
      <c r="T30" s="72"/>
      <c r="U30" s="13"/>
      <c r="V30" s="71"/>
      <c r="W30" s="71"/>
      <c r="X30" s="71"/>
      <c r="Y30" s="71"/>
      <c r="Z30" s="71"/>
      <c r="AA30" s="71"/>
      <c r="AB30" s="71"/>
      <c r="AC30" s="71"/>
      <c r="AD30" s="71"/>
      <c r="AE30" s="71"/>
      <c r="AF30" s="72"/>
      <c r="AG30" s="73"/>
      <c r="AH30"/>
      <c r="AO30" s="79"/>
    </row>
    <row r="31" spans="1:41" ht="21" customHeight="1" x14ac:dyDescent="0.15">
      <c r="A31" s="78"/>
      <c r="G31"/>
      <c r="H31" s="74"/>
      <c r="I31" s="73"/>
      <c r="J31"/>
      <c r="K31"/>
      <c r="L31"/>
      <c r="M31"/>
      <c r="N31"/>
      <c r="O31"/>
      <c r="P31"/>
      <c r="Q31"/>
      <c r="R31"/>
      <c r="S31"/>
      <c r="T31" s="74"/>
      <c r="U31" s="73"/>
      <c r="V31"/>
      <c r="W31"/>
      <c r="X31"/>
      <c r="Y31"/>
      <c r="Z31"/>
      <c r="AA31"/>
      <c r="AB31"/>
      <c r="AC31"/>
      <c r="AD31"/>
      <c r="AE31"/>
      <c r="AF31" s="74"/>
      <c r="AG31" s="73"/>
      <c r="AH31"/>
      <c r="AO31" s="79"/>
    </row>
    <row r="32" spans="1:41" ht="21" customHeight="1" x14ac:dyDescent="0.15">
      <c r="A32" s="78"/>
      <c r="G32"/>
      <c r="H32" s="74"/>
      <c r="I32" s="73"/>
      <c r="J32"/>
      <c r="K32"/>
      <c r="L32"/>
      <c r="M32"/>
      <c r="N32"/>
      <c r="O32"/>
      <c r="P32"/>
      <c r="Q32"/>
      <c r="R32"/>
      <c r="S32"/>
      <c r="T32" s="74"/>
      <c r="U32" s="73"/>
      <c r="V32"/>
      <c r="W32"/>
      <c r="X32"/>
      <c r="Y32"/>
      <c r="Z32"/>
      <c r="AA32"/>
      <c r="AB32"/>
      <c r="AC32"/>
      <c r="AD32"/>
      <c r="AE32"/>
      <c r="AF32" s="74"/>
      <c r="AG32" s="73"/>
      <c r="AH32"/>
      <c r="AO32" s="79"/>
    </row>
    <row r="33" spans="1:41" ht="21" customHeight="1" x14ac:dyDescent="0.15">
      <c r="A33" s="80"/>
      <c r="G33"/>
      <c r="H33" s="74"/>
      <c r="I33" s="75"/>
      <c r="J33" s="76"/>
      <c r="K33" s="76"/>
      <c r="L33" s="76"/>
      <c r="M33" s="76"/>
      <c r="N33" s="76"/>
      <c r="O33" s="76"/>
      <c r="P33" s="76"/>
      <c r="Q33" s="76"/>
      <c r="R33" s="76"/>
      <c r="S33" s="76"/>
      <c r="T33" s="77"/>
      <c r="U33" s="75"/>
      <c r="V33" s="76"/>
      <c r="W33" s="76"/>
      <c r="X33" s="76"/>
      <c r="Y33" s="76"/>
      <c r="Z33" s="76"/>
      <c r="AA33" s="76"/>
      <c r="AB33" s="76"/>
      <c r="AC33" s="76"/>
      <c r="AD33" s="76"/>
      <c r="AE33" s="76"/>
      <c r="AF33" s="77"/>
      <c r="AG33" s="73"/>
      <c r="AH33"/>
      <c r="AO33" s="79"/>
    </row>
    <row r="34" spans="1:41" ht="21" customHeight="1" x14ac:dyDescent="0.15">
      <c r="A34" s="80"/>
      <c r="H34" s="74"/>
      <c r="I34" s="87"/>
      <c r="J34" s="71"/>
      <c r="K34" s="71"/>
      <c r="L34" s="71"/>
      <c r="M34" s="71"/>
      <c r="N34" s="71"/>
      <c r="O34" s="71"/>
      <c r="P34" s="71"/>
      <c r="Q34" s="71"/>
      <c r="R34" s="71"/>
      <c r="S34" s="71"/>
      <c r="T34" s="72"/>
      <c r="U34" s="13"/>
      <c r="V34" s="71"/>
      <c r="W34" s="71"/>
      <c r="X34" s="71"/>
      <c r="Y34" s="71"/>
      <c r="Z34" s="71"/>
      <c r="AA34" s="71"/>
      <c r="AB34" s="71"/>
      <c r="AC34" s="71"/>
      <c r="AD34" s="71"/>
      <c r="AE34" s="71"/>
      <c r="AF34" s="72"/>
      <c r="AG34" s="73"/>
      <c r="AH34"/>
      <c r="AO34" s="79"/>
    </row>
    <row r="35" spans="1:41" ht="21" customHeight="1" x14ac:dyDescent="0.15">
      <c r="A35" s="80"/>
      <c r="G35"/>
      <c r="H35" s="74"/>
      <c r="I35" s="73"/>
      <c r="J35"/>
      <c r="K35"/>
      <c r="L35"/>
      <c r="M35"/>
      <c r="N35"/>
      <c r="O35"/>
      <c r="P35"/>
      <c r="Q35"/>
      <c r="R35"/>
      <c r="S35"/>
      <c r="T35" s="74"/>
      <c r="U35" s="73"/>
      <c r="V35"/>
      <c r="W35"/>
      <c r="X35"/>
      <c r="Y35"/>
      <c r="Z35"/>
      <c r="AA35"/>
      <c r="AB35"/>
      <c r="AC35"/>
      <c r="AD35"/>
      <c r="AE35"/>
      <c r="AF35" s="74"/>
      <c r="AG35" s="73"/>
      <c r="AH35"/>
      <c r="AO35" s="79"/>
    </row>
    <row r="36" spans="1:41" ht="21" customHeight="1" x14ac:dyDescent="0.15">
      <c r="A36" s="80"/>
      <c r="G36"/>
      <c r="H36" s="74"/>
      <c r="I36" s="73"/>
      <c r="J36"/>
      <c r="K36"/>
      <c r="L36"/>
      <c r="M36"/>
      <c r="N36"/>
      <c r="O36"/>
      <c r="P36"/>
      <c r="Q36"/>
      <c r="R36"/>
      <c r="S36"/>
      <c r="T36" s="74"/>
      <c r="U36" s="73"/>
      <c r="V36"/>
      <c r="W36"/>
      <c r="X36"/>
      <c r="Y36"/>
      <c r="Z36"/>
      <c r="AA36"/>
      <c r="AB36"/>
      <c r="AC36"/>
      <c r="AD36"/>
      <c r="AE36"/>
      <c r="AF36" s="74"/>
      <c r="AG36" s="73"/>
      <c r="AH36"/>
      <c r="AO36" s="79"/>
    </row>
    <row r="37" spans="1:41" ht="21" customHeight="1" x14ac:dyDescent="0.15">
      <c r="A37" s="80"/>
      <c r="G37"/>
      <c r="H37" s="74"/>
      <c r="I37" s="75"/>
      <c r="J37" s="76"/>
      <c r="K37" s="76"/>
      <c r="L37" s="76"/>
      <c r="M37" s="76"/>
      <c r="N37" s="76"/>
      <c r="O37" s="76"/>
      <c r="P37" s="76"/>
      <c r="Q37" s="76"/>
      <c r="R37" s="76"/>
      <c r="S37" s="76"/>
      <c r="T37" s="77"/>
      <c r="U37" s="75"/>
      <c r="V37" s="76"/>
      <c r="W37" s="76"/>
      <c r="X37" s="76"/>
      <c r="Y37" s="76"/>
      <c r="Z37" s="76"/>
      <c r="AA37" s="76"/>
      <c r="AB37" s="76"/>
      <c r="AC37" s="76"/>
      <c r="AD37" s="76"/>
      <c r="AE37" s="76"/>
      <c r="AF37" s="77"/>
      <c r="AG37" s="73"/>
      <c r="AH37"/>
      <c r="AO37" s="79"/>
    </row>
    <row r="38" spans="1:41" ht="18.600000000000001" customHeight="1" x14ac:dyDescent="0.15">
      <c r="A38" s="81"/>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3"/>
    </row>
    <row r="39" spans="1:41" ht="18.600000000000001" customHeight="1" x14ac:dyDescent="0.15"/>
    <row r="40" spans="1:41" ht="18.600000000000001" customHeight="1" x14ac:dyDescent="0.15"/>
    <row r="41" spans="1:41" ht="18.600000000000001" customHeight="1" x14ac:dyDescent="0.15"/>
    <row r="42" spans="1:41" ht="18.600000000000001" customHeight="1" x14ac:dyDescent="0.15"/>
    <row r="43" spans="1:41" ht="18.600000000000001" customHeight="1" x14ac:dyDescent="0.15"/>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row r="55" ht="18.600000000000001" customHeight="1" x14ac:dyDescent="0.15"/>
    <row r="56" ht="18.600000000000001" customHeight="1" x14ac:dyDescent="0.15"/>
  </sheetData>
  <sheetProtection sheet="1" objects="1" scenarios="1"/>
  <mergeCells count="11">
    <mergeCell ref="A6:AO6"/>
    <mergeCell ref="A7:AO7"/>
    <mergeCell ref="H4:AO4"/>
    <mergeCell ref="H5:AO5"/>
    <mergeCell ref="A1:AO1"/>
    <mergeCell ref="A2:G2"/>
    <mergeCell ref="A3:G3"/>
    <mergeCell ref="A4:G4"/>
    <mergeCell ref="A5:G5"/>
    <mergeCell ref="H2:AO2"/>
    <mergeCell ref="H3:AO3"/>
  </mergeCells>
  <phoneticPr fontId="1"/>
  <conditionalFormatting sqref="A1:AO1">
    <cfRule type="expression" dxfId="110" priority="1">
      <formula>A1="未入力あり"</formula>
    </cfRule>
  </conditionalFormatting>
  <conditionalFormatting sqref="AQ1:AQ87">
    <cfRule type="expression" dxfId="109" priority="2">
      <formula>FIND("未入力",AQ1)</formula>
    </cfRule>
    <cfRule type="expression" dxfId="108" priority="3">
      <formula>_xlfn.ISFORMULA(AQ1)</formula>
    </cfRule>
  </conditionalFormatting>
  <pageMargins left="0.98425196850393704" right="0.78740157480314965" top="0.98425196850393704" bottom="0.78740157480314965"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N52"/>
  <sheetViews>
    <sheetView topLeftCell="A10" workbookViewId="0">
      <selection activeCell="A2" sqref="A2:K2"/>
    </sheetView>
  </sheetViews>
  <sheetFormatPr defaultColWidth="8.75" defaultRowHeight="12.75" x14ac:dyDescent="0.15"/>
  <cols>
    <col min="1" max="1" width="0.875" style="2" customWidth="1"/>
    <col min="2" max="2" width="3.625" style="2" customWidth="1"/>
    <col min="3" max="3" width="32.375" style="2" customWidth="1"/>
    <col min="4" max="4" width="13.5" style="2" customWidth="1"/>
    <col min="5" max="5" width="9.125" style="2" customWidth="1"/>
    <col min="6" max="6" width="5" style="2" customWidth="1"/>
    <col min="7" max="11" width="13.5" style="2" customWidth="1"/>
    <col min="12" max="13" width="2.125" style="2" customWidth="1"/>
    <col min="14" max="16384" width="8.75" style="2"/>
  </cols>
  <sheetData>
    <row r="1" spans="1:14" ht="18.600000000000001" customHeight="1" x14ac:dyDescent="0.15">
      <c r="A1" s="2" t="s">
        <v>39</v>
      </c>
      <c r="D1" s="166" t="str">
        <f>IF(COUNTIF(N1:N100,"*未入力*"),"未入力あり","")</f>
        <v/>
      </c>
      <c r="E1" s="166"/>
      <c r="F1" s="166"/>
      <c r="G1" s="166"/>
      <c r="H1" s="166"/>
      <c r="I1" s="166"/>
      <c r="J1" s="166"/>
      <c r="K1" s="166"/>
    </row>
    <row r="2" spans="1:14" ht="18.600000000000001" customHeight="1" x14ac:dyDescent="0.15">
      <c r="A2" s="237" t="s">
        <v>38</v>
      </c>
      <c r="B2" s="237"/>
      <c r="C2" s="237"/>
      <c r="D2" s="237"/>
      <c r="E2" s="237"/>
      <c r="F2" s="237"/>
      <c r="G2" s="237"/>
      <c r="H2" s="237"/>
      <c r="I2" s="237"/>
      <c r="J2" s="237"/>
      <c r="K2" s="237"/>
      <c r="N2" s="2" t="str">
        <f>IF(入力!D3="",様式14!$AQ$5&amp;様式14!$AR$5&amp;ROW(入力!D3)&amp;" 未入力",入力!D3)</f>
        <v>法人</v>
      </c>
    </row>
    <row r="3" spans="1:14" ht="18.600000000000001" customHeight="1" x14ac:dyDescent="0.15">
      <c r="A3" s="164" t="str">
        <f>"事業所の名称："&amp;IF(N2="個人",IF(N4="同じ",N3,N5),N3&amp;"　"&amp;N5)</f>
        <v>事業所の名称：○○株式会社　</v>
      </c>
      <c r="B3" s="165"/>
      <c r="C3" s="165"/>
      <c r="D3" s="165"/>
      <c r="E3" s="165"/>
      <c r="F3" s="165"/>
      <c r="G3" s="165"/>
      <c r="H3" s="165"/>
      <c r="I3" s="165"/>
      <c r="J3" s="165"/>
      <c r="K3" s="165"/>
      <c r="N3" s="2" t="str">
        <f>IF(入力!D5="",様式14!$AQ$5&amp;様式14!$AR$5&amp;ROW(入力!D5)&amp;" 未入力",入力!D5)</f>
        <v>○○株式会社</v>
      </c>
    </row>
    <row r="4" spans="1:14" ht="18.600000000000001" customHeight="1" x14ac:dyDescent="0.15">
      <c r="A4" s="220" t="str">
        <f>"事業所の所在地："&amp;IF(N8="",N6,N8)&amp;"　　　電話番号："&amp;入力!D13</f>
        <v>事業所の所在地：○○市○○町１－２－２０　　　電話番号：077-523-2892</v>
      </c>
      <c r="B4" s="241"/>
      <c r="C4" s="241"/>
      <c r="D4" s="241"/>
      <c r="E4" s="241"/>
      <c r="F4" s="241"/>
      <c r="G4" s="241"/>
      <c r="H4" s="241"/>
      <c r="I4" s="241"/>
      <c r="J4" s="241"/>
      <c r="K4" s="241"/>
      <c r="N4" s="2" t="str">
        <f>IF(入力!D9="",様式14!$AQ$5&amp;様式14!$AR$5&amp;ROW(入力!D9)&amp;" 未入力",入力!D9)</f>
        <v>同じ</v>
      </c>
    </row>
    <row r="5" spans="1:14" ht="30.95" customHeight="1" x14ac:dyDescent="0.15">
      <c r="A5" s="238" t="s">
        <v>14</v>
      </c>
      <c r="B5" s="239"/>
      <c r="C5" s="240"/>
      <c r="D5" s="91" t="s">
        <v>28</v>
      </c>
      <c r="E5" s="242" t="s">
        <v>29</v>
      </c>
      <c r="F5" s="243"/>
      <c r="G5" s="91" t="s">
        <v>30</v>
      </c>
      <c r="H5" s="91" t="s">
        <v>31</v>
      </c>
      <c r="I5" s="8" t="s">
        <v>32</v>
      </c>
      <c r="J5" s="8" t="s">
        <v>33</v>
      </c>
      <c r="K5" s="8" t="s">
        <v>34</v>
      </c>
      <c r="N5" s="2" t="str">
        <f>IF(N4="同じ","",IF(入力!D10="",様式14!$AQ$5&amp;様式14!$AR$5&amp;ROW(入力!D10)&amp;" 未入力",入力!D10))</f>
        <v/>
      </c>
    </row>
    <row r="6" spans="1:14" ht="26.1" customHeight="1" x14ac:dyDescent="0.15">
      <c r="A6" s="4"/>
      <c r="B6" s="6" t="s">
        <v>15</v>
      </c>
      <c r="C6" s="5"/>
      <c r="D6" s="21" t="str">
        <f>N11</f>
        <v>－</v>
      </c>
      <c r="E6" s="244">
        <f>N13</f>
        <v>500</v>
      </c>
      <c r="F6" s="243"/>
      <c r="G6" s="21">
        <f>N15</f>
        <v>500</v>
      </c>
      <c r="H6" s="21">
        <f>N17</f>
        <v>500</v>
      </c>
      <c r="I6" s="21">
        <f>N19</f>
        <v>500</v>
      </c>
      <c r="J6" s="21">
        <f>N21</f>
        <v>500</v>
      </c>
      <c r="K6" s="21" t="str">
        <f>N23</f>
        <v>－</v>
      </c>
      <c r="N6" s="2" t="str">
        <f>IF(入力!D7="",様式14!$AQ$5&amp;様式14!$AR$5&amp;ROW(入力!D7)&amp;" 未入力",入力!D7)</f>
        <v>○○市○○町１－２－２０</v>
      </c>
    </row>
    <row r="7" spans="1:14" ht="26.1" customHeight="1" x14ac:dyDescent="0.15">
      <c r="A7" s="4"/>
      <c r="B7" s="226" t="s">
        <v>37</v>
      </c>
      <c r="C7" s="227"/>
      <c r="D7" s="224" t="str">
        <f>"液化石油ガス設備士又は第二種販売主任者 "&amp;N24&amp;" 人、製造保安責任者 "&amp;N25&amp;" 人、その他 "&amp;SUM(N26,N27)&amp;" 人"</f>
        <v>液化石油ガス設備士又は第二種販売主任者 2 人、製造保安責任者 0 人、その他 1 人</v>
      </c>
      <c r="E7" s="224"/>
      <c r="F7" s="224"/>
      <c r="G7" s="224"/>
      <c r="H7" s="224"/>
      <c r="I7" s="224"/>
      <c r="J7" s="224"/>
      <c r="K7" s="224"/>
      <c r="N7" s="2" t="str">
        <f>IF(N3="同じ","",IF(入力!D11="",様式14!$AQ$5&amp;様式14!$AR$5&amp;ROW(入力!D11)&amp;" 未入力",入力!D11))</f>
        <v>同じ</v>
      </c>
    </row>
    <row r="8" spans="1:14" ht="26.1" customHeight="1" x14ac:dyDescent="0.15">
      <c r="A8" s="4"/>
      <c r="B8" s="226" t="s">
        <v>16</v>
      </c>
      <c r="C8" s="227"/>
      <c r="D8" s="9"/>
      <c r="E8" s="222">
        <f>N28</f>
        <v>0</v>
      </c>
      <c r="F8" s="245"/>
      <c r="G8" s="9"/>
      <c r="H8" s="9"/>
      <c r="I8" s="9"/>
      <c r="J8" s="9"/>
      <c r="K8" s="9"/>
      <c r="N8" s="2" t="str">
        <f>IF(N7="同じ","",IF(入力!D12="",様式14!$AQ$5&amp;様式14!$AR$5&amp;ROW(入力!D12)&amp;" 未入力",入力!D12))</f>
        <v/>
      </c>
    </row>
    <row r="9" spans="1:14" ht="26.1" customHeight="1" x14ac:dyDescent="0.15">
      <c r="A9" s="4"/>
      <c r="B9" s="228" t="s">
        <v>17</v>
      </c>
      <c r="C9" s="229"/>
      <c r="D9" s="10"/>
      <c r="E9" s="246"/>
      <c r="F9" s="247"/>
      <c r="G9" s="222">
        <f>N31</f>
        <v>0</v>
      </c>
      <c r="H9" s="223"/>
      <c r="I9" s="10"/>
      <c r="J9" s="10"/>
      <c r="K9" s="10"/>
      <c r="N9" s="2" t="str">
        <f>IF(入力!D13="",様式14!$AQ$5&amp;様式14!$AR$5&amp;ROW(入力!D13)&amp;" 未入力",入力!D13)</f>
        <v>077-523-2892</v>
      </c>
    </row>
    <row r="10" spans="1:14" ht="26.1" customHeight="1" x14ac:dyDescent="0.15">
      <c r="A10" s="4"/>
      <c r="B10" s="226" t="s">
        <v>18</v>
      </c>
      <c r="C10" s="227"/>
      <c r="D10" s="10"/>
      <c r="E10" s="222" t="str">
        <f>N32&amp;"日/月"</f>
        <v>22日/月</v>
      </c>
      <c r="F10" s="245"/>
      <c r="G10" s="144" t="str">
        <f>N33&amp;"日/年"</f>
        <v>263日/年</v>
      </c>
      <c r="H10" s="144" t="str">
        <f>N34&amp;"日/年"</f>
        <v>263日/年</v>
      </c>
      <c r="I10" s="10"/>
      <c r="J10" s="10"/>
      <c r="K10" s="10"/>
      <c r="N10" s="2" t="str">
        <f>IF(入力!D14="",様式14!$AQ$5&amp;様式14!$AR$5&amp;ROW(入力!D14)&amp;" 未入力",入力!D14)</f>
        <v>規則関係通達第29号により認定を受けることなく業務を行う</v>
      </c>
    </row>
    <row r="11" spans="1:14" ht="26.1" customHeight="1" x14ac:dyDescent="0.15">
      <c r="A11" s="231" t="s">
        <v>19</v>
      </c>
      <c r="B11" s="232"/>
      <c r="C11" s="15" t="s">
        <v>20</v>
      </c>
      <c r="D11" s="224" t="str">
        <f>N35&amp;" 個"</f>
        <v>2 個</v>
      </c>
      <c r="E11" s="224"/>
      <c r="F11" s="224"/>
      <c r="G11" s="224"/>
      <c r="H11" s="224"/>
      <c r="I11" s="224"/>
      <c r="J11" s="224"/>
      <c r="K11" s="224"/>
      <c r="N11" s="2" t="str">
        <f>IF(COUNTIF(N10,"*の認定を受ける*"),IF(入力!D21="",様式14!$AQ$5&amp;様式14!$AR$5&amp;ROW(入力!D21)&amp;" 未入力",入力!D21),"－")</f>
        <v>－</v>
      </c>
    </row>
    <row r="12" spans="1:14" ht="26.1" customHeight="1" x14ac:dyDescent="0.15">
      <c r="A12" s="233"/>
      <c r="B12" s="234"/>
      <c r="C12" s="16" t="s">
        <v>21</v>
      </c>
      <c r="D12" s="224" t="str">
        <f t="shared" ref="D12:D17" si="0">N36&amp;" 個"</f>
        <v>1 個</v>
      </c>
      <c r="E12" s="224"/>
      <c r="F12" s="224"/>
      <c r="G12" s="224"/>
      <c r="H12" s="224"/>
      <c r="I12" s="224"/>
      <c r="J12" s="224"/>
      <c r="K12" s="224"/>
      <c r="N12" s="2" t="str">
        <f>IF(入力!D15="",様式14!$AQ$5&amp;様式14!$AR$5&amp;ROW(入力!D15)&amp;" 未入力",入力!D15)</f>
        <v>容器交換時等供給設備点検の認定を受ける</v>
      </c>
    </row>
    <row r="13" spans="1:14" ht="26.1" customHeight="1" x14ac:dyDescent="0.15">
      <c r="A13" s="233"/>
      <c r="B13" s="234"/>
      <c r="C13" s="16" t="s">
        <v>22</v>
      </c>
      <c r="D13" s="224" t="str">
        <f t="shared" si="0"/>
        <v>2 個</v>
      </c>
      <c r="E13" s="224"/>
      <c r="F13" s="224"/>
      <c r="G13" s="224"/>
      <c r="H13" s="224"/>
      <c r="I13" s="224"/>
      <c r="J13" s="224"/>
      <c r="K13" s="224"/>
      <c r="N13" s="2">
        <f>IF(COUNTIF(N12,"*の認定を受ける*"),IF(入力!D22="",様式14!$AQ$5&amp;様式14!$AR$5&amp;ROW(入力!D22)&amp;" 未入力",入力!D22),"－")</f>
        <v>500</v>
      </c>
    </row>
    <row r="14" spans="1:14" ht="26.1" customHeight="1" x14ac:dyDescent="0.15">
      <c r="A14" s="233"/>
      <c r="B14" s="234"/>
      <c r="C14" s="16" t="s">
        <v>23</v>
      </c>
      <c r="D14" s="224" t="str">
        <f t="shared" si="0"/>
        <v>2 個</v>
      </c>
      <c r="E14" s="224"/>
      <c r="F14" s="224"/>
      <c r="G14" s="224"/>
      <c r="H14" s="224"/>
      <c r="I14" s="224"/>
      <c r="J14" s="224"/>
      <c r="K14" s="224"/>
      <c r="N14" s="2" t="str">
        <f>IF(入力!D16="",様式14!$AQ$5&amp;様式14!$AR$5&amp;ROW(入力!D16)&amp;" 未入力",入力!D16)</f>
        <v>定期供給設備点検の認定を受ける</v>
      </c>
    </row>
    <row r="15" spans="1:14" ht="26.1" customHeight="1" x14ac:dyDescent="0.15">
      <c r="A15" s="233"/>
      <c r="B15" s="234"/>
      <c r="C15" s="16" t="s">
        <v>24</v>
      </c>
      <c r="D15" s="224" t="str">
        <f t="shared" si="0"/>
        <v>1 個</v>
      </c>
      <c r="E15" s="224"/>
      <c r="F15" s="224"/>
      <c r="G15" s="224"/>
      <c r="H15" s="224"/>
      <c r="I15" s="224"/>
      <c r="J15" s="224"/>
      <c r="K15" s="224"/>
      <c r="N15" s="2">
        <f>IF(COUNTIF(N14,"*の認定を受ける*"),IF(入力!D23="",様式14!$AQ$5&amp;様式14!$AR$5&amp;ROW(入力!D23)&amp;" 未入力",入力!D23),"－")</f>
        <v>500</v>
      </c>
    </row>
    <row r="16" spans="1:14" ht="26.1" customHeight="1" x14ac:dyDescent="0.15">
      <c r="A16" s="233"/>
      <c r="B16" s="234"/>
      <c r="C16" s="16" t="s">
        <v>25</v>
      </c>
      <c r="D16" s="224" t="str">
        <f t="shared" si="0"/>
        <v>1 個</v>
      </c>
      <c r="E16" s="224"/>
      <c r="F16" s="224"/>
      <c r="G16" s="224"/>
      <c r="H16" s="224"/>
      <c r="I16" s="224"/>
      <c r="J16" s="224"/>
      <c r="K16" s="224"/>
      <c r="N16" s="2" t="str">
        <f>IF(入力!D17="",様式14!$AQ$5&amp;様式14!$AR$5&amp;ROW(入力!D17)&amp;" 未入力",入力!D17)</f>
        <v>定期消費設備調査の認定を受ける</v>
      </c>
    </row>
    <row r="17" spans="1:14" ht="26.1" customHeight="1" x14ac:dyDescent="0.15">
      <c r="A17" s="235"/>
      <c r="B17" s="236"/>
      <c r="C17" s="16" t="s">
        <v>26</v>
      </c>
      <c r="D17" s="224" t="str">
        <f t="shared" si="0"/>
        <v>1 個</v>
      </c>
      <c r="E17" s="224"/>
      <c r="F17" s="224"/>
      <c r="G17" s="224"/>
      <c r="H17" s="224"/>
      <c r="I17" s="224"/>
      <c r="J17" s="224"/>
      <c r="K17" s="224"/>
      <c r="N17" s="2">
        <f>IF(COUNTIF(N16,"*の認定を受ける*"),IF(入力!D24="",様式14!$AQ$5&amp;様式14!$AR$5&amp;ROW(入力!D24)&amp;" 未入力",入力!D24),"－")</f>
        <v>500</v>
      </c>
    </row>
    <row r="18" spans="1:14" ht="18" customHeight="1" x14ac:dyDescent="0.15">
      <c r="A18" s="13"/>
      <c r="B18" s="214" t="s">
        <v>27</v>
      </c>
      <c r="C18" s="215"/>
      <c r="D18" s="225" t="str">
        <f>"出動するための手段："&amp;N42</f>
        <v>出動するための手段：自動車</v>
      </c>
      <c r="E18" s="225"/>
      <c r="F18" s="225"/>
      <c r="G18" s="225"/>
      <c r="H18" s="225"/>
      <c r="I18" s="225"/>
      <c r="J18" s="225"/>
      <c r="K18" s="225"/>
      <c r="N18" s="2" t="str">
        <f>IF(入力!D18="",様式14!$AQ$5&amp;様式14!$AR$5&amp;ROW(入力!D18)&amp;" 未入力",入力!D18)</f>
        <v>周知の認定を受ける</v>
      </c>
    </row>
    <row r="19" spans="1:14" ht="36" customHeight="1" x14ac:dyDescent="0.15">
      <c r="A19" s="11"/>
      <c r="B19" s="211"/>
      <c r="C19" s="216"/>
      <c r="D19" s="230" t="s">
        <v>488</v>
      </c>
      <c r="E19" s="212"/>
      <c r="F19" s="211" t="str">
        <f>IF(COUNTIF(N43,"*電話で行う*"),N44,N45)</f>
        <v>●●●●-●●-●●●●</v>
      </c>
      <c r="G19" s="212"/>
      <c r="H19" s="212"/>
      <c r="I19" s="212"/>
      <c r="J19" s="212"/>
      <c r="K19" s="213"/>
      <c r="N19" s="2">
        <f>IF(COUNTIF(N18,"*の認定を受ける*"),IF(入力!D25="",様式14!$AQ$5&amp;様式14!$AR$5&amp;ROW(入力!D25)&amp;" 未入力",入力!D25),"－")</f>
        <v>500</v>
      </c>
    </row>
    <row r="20" spans="1:14" ht="18" customHeight="1" x14ac:dyDescent="0.15">
      <c r="A20" s="12"/>
      <c r="B20" s="217"/>
      <c r="C20" s="218"/>
      <c r="D20" s="219" t="str">
        <f>"集中監視システムの導入の有無："&amp;IF(COUNTIF(N20,"*受けない*"),"－",IF(COUNTIF(N46,"*全て*"),"■全ての一般消費者等に導入　□一部の一般消費者等に導入　□",IF(COUNTIF(N46,"*一部*"),"□全ての一般消費者等に導入　■一部の一般消費者等に導入　□",IF(COUNTIF(N46,"*いない*"),"□全ての一般消費者等に導入　□一部の一般消費者等に導入　■")))&amp;"導入なし")</f>
        <v>集中監視システムの導入の有無：□全ての一般消費者等に導入　■一部の一般消費者等に導入　□導入なし</v>
      </c>
      <c r="E20" s="220"/>
      <c r="F20" s="220"/>
      <c r="G20" s="220"/>
      <c r="H20" s="220"/>
      <c r="I20" s="220"/>
      <c r="J20" s="220"/>
      <c r="K20" s="221"/>
      <c r="N20" s="2" t="str">
        <f>IF(入力!D19="",様式14!$AQ$5&amp;様式14!$AR$5&amp;ROW(入力!D19)&amp;" 未入力",入力!D19)</f>
        <v>緊急時対応の認定を受ける</v>
      </c>
    </row>
    <row r="21" spans="1:14" ht="18.600000000000001" customHeight="1" x14ac:dyDescent="0.15">
      <c r="B21" s="2" t="s">
        <v>35</v>
      </c>
      <c r="N21" s="2">
        <f>IF(COUNTIF(N20,"*の認定を受ける*"),IF(入力!D26="",様式14!$AQ$5&amp;様式14!$AR$5&amp;ROW(入力!D26)&amp;" 未入力",入力!D26),"－")</f>
        <v>500</v>
      </c>
    </row>
    <row r="22" spans="1:14" ht="18.600000000000001" customHeight="1" x14ac:dyDescent="0.15">
      <c r="B22" s="2" t="s">
        <v>36</v>
      </c>
      <c r="N22" s="2" t="str">
        <f>IF(入力!D20="",様式14!$AQ$5&amp;様式14!$AR$5&amp;ROW(入力!D20)&amp;" 未入力",入力!D20)</f>
        <v>規則関係通達第29号により認定を受けることなく業務を行う</v>
      </c>
    </row>
    <row r="23" spans="1:14" ht="18.600000000000001" customHeight="1" x14ac:dyDescent="0.15">
      <c r="N23" s="2" t="str">
        <f>IF(COUNTIF(N22,"*の認定を受ける*"),IF(入力!D27="",様式14!$AQ$5&amp;様式14!$AR$5&amp;ROW(入力!D27)&amp;" 未入力",入力!D27),"－")</f>
        <v>－</v>
      </c>
    </row>
    <row r="24" spans="1:14" ht="18.600000000000001" customHeight="1" x14ac:dyDescent="0.15">
      <c r="N24" s="2">
        <f>IF(入力!D31="",様式14!$AQ$5&amp;様式14!$AR$5&amp;ROW(入力!D31)&amp;" 未入力",入力!D31)</f>
        <v>2</v>
      </c>
    </row>
    <row r="25" spans="1:14" ht="18.600000000000001" customHeight="1" x14ac:dyDescent="0.15">
      <c r="N25" s="2">
        <f>IF(入力!D32="",様式14!$AQ$5&amp;様式14!$AR$5&amp;ROW(入力!D32)&amp;" 未入力",入力!D32)</f>
        <v>0</v>
      </c>
    </row>
    <row r="26" spans="1:14" ht="18.600000000000001" customHeight="1" x14ac:dyDescent="0.15">
      <c r="N26" s="2">
        <f>IF(入力!D33="",様式14!$AQ$5&amp;様式14!$AR$5&amp;ROW(入力!D33)&amp;" 未入力",入力!D33)</f>
        <v>0</v>
      </c>
    </row>
    <row r="27" spans="1:14" ht="18.600000000000001" customHeight="1" x14ac:dyDescent="0.15">
      <c r="N27" s="2">
        <f>IF(入力!D34="",様式14!$AQ$5&amp;様式14!$AR$5&amp;ROW(入力!D34)&amp;" 未入力",入力!D34)</f>
        <v>1</v>
      </c>
    </row>
    <row r="28" spans="1:14" ht="18.600000000000001" customHeight="1" x14ac:dyDescent="0.15">
      <c r="N28" s="2">
        <f>IF(COUNTIF(N12,"*受けない*"),"－",IF(入力!D36="",様式14!$AQ$5&amp;様式14!$AR$5&amp;ROW(入力!D36)&amp;" 未入力",入力!D36))</f>
        <v>0</v>
      </c>
    </row>
    <row r="29" spans="1:14" ht="18.600000000000001" customHeight="1" x14ac:dyDescent="0.15">
      <c r="N29" s="2" t="str">
        <f>IF(COUNTIF(N14,"*受けない*"),"",IF(入力!D37="",様式14!$AQ$5&amp;様式14!$AR$5&amp;ROW(入力!D37)&amp;" 未入力",入力!D37))</f>
        <v>定期供給設備点検に補助員を伴わない</v>
      </c>
    </row>
    <row r="30" spans="1:14" ht="18.600000000000001" customHeight="1" x14ac:dyDescent="0.15">
      <c r="N30" s="2" t="str">
        <f>IF(COUNTIF(N16,"*受けない*"),"",IF(入力!D38="",様式14!$AQ$5&amp;様式14!$AR$5&amp;ROW(入力!D38)&amp;" 未入力",入力!D38))</f>
        <v>定期消費設備調査に補助員を伴わない</v>
      </c>
    </row>
    <row r="31" spans="1:14" ht="18.600000000000001" customHeight="1" x14ac:dyDescent="0.15">
      <c r="N31" s="2">
        <f>IF(AND(SUM(COUNTIF(N29,"*伴って*"),COUNTIF(N30,"*伴って*")),入力!D39=""),様式14!$AQ$5&amp;様式14!$AR$5&amp;ROW(入力!D39)&amp;" 未入力",入力!D39)</f>
        <v>0</v>
      </c>
    </row>
    <row r="32" spans="1:14" ht="18.600000000000001" customHeight="1" x14ac:dyDescent="0.15">
      <c r="N32" s="2">
        <f>IF(COUNTIF(N12,"*受けない*"),"－",IF(入力!D28="",様式14!$AQ$5&amp;様式14!$AR$5&amp;ROW(入力!D28)&amp;" 未入力",入力!D28))</f>
        <v>22</v>
      </c>
    </row>
    <row r="33" spans="14:14" ht="18.600000000000001" customHeight="1" x14ac:dyDescent="0.15">
      <c r="N33" s="2">
        <f>IF(COUNTIF(N14,"*受けない*"),"－",IF(入力!D29="",様式14!$AQ$5&amp;様式14!$AR$5&amp;ROW(入力!D29)&amp;" 未入力",入力!D29))</f>
        <v>263</v>
      </c>
    </row>
    <row r="34" spans="14:14" ht="18.600000000000001" customHeight="1" x14ac:dyDescent="0.15">
      <c r="N34" s="2">
        <f>IF(COUNTIF(N16,"*受けない*"),"－",IF(入力!D30="",様式14!$AQ$5&amp;様式14!$AR$5&amp;ROW(入力!D30)&amp;" 未入力",入力!D30))</f>
        <v>263</v>
      </c>
    </row>
    <row r="35" spans="14:14" ht="18.600000000000001" customHeight="1" x14ac:dyDescent="0.15">
      <c r="N35" s="2">
        <f>IF(入力!D42="",様式14!$AQ$5&amp;様式14!$AR$5&amp;ROW(入力!D42)&amp;" 未入力",入力!D42)</f>
        <v>2</v>
      </c>
    </row>
    <row r="36" spans="14:14" ht="18.600000000000001" customHeight="1" x14ac:dyDescent="0.15">
      <c r="N36" s="2">
        <f>IF(入力!D43="",様式14!$AQ$5&amp;様式14!$AR$5&amp;ROW(入力!D43)&amp;" 未入力",入力!D43)</f>
        <v>1</v>
      </c>
    </row>
    <row r="37" spans="14:14" ht="18.600000000000001" customHeight="1" x14ac:dyDescent="0.15">
      <c r="N37" s="2">
        <f>IF(入力!D44="",様式14!$AQ$5&amp;様式14!$AR$5&amp;ROW(入力!D44)&amp;" 未入力",入力!D44)</f>
        <v>2</v>
      </c>
    </row>
    <row r="38" spans="14:14" ht="18.600000000000001" customHeight="1" x14ac:dyDescent="0.15">
      <c r="N38" s="2">
        <f>IF(入力!D45="",様式14!$AQ$5&amp;様式14!$AR$5&amp;ROW(入力!D45)&amp;" 未入力",入力!D45)</f>
        <v>2</v>
      </c>
    </row>
    <row r="39" spans="14:14" ht="18.600000000000001" customHeight="1" x14ac:dyDescent="0.15">
      <c r="N39" s="2">
        <f>IF(入力!D46="",様式14!$AQ$5&amp;様式14!$AR$5&amp;ROW(入力!D46)&amp;" 未入力",入力!D46)</f>
        <v>1</v>
      </c>
    </row>
    <row r="40" spans="14:14" ht="18.600000000000001" customHeight="1" x14ac:dyDescent="0.15">
      <c r="N40" s="2">
        <f>IF(入力!D47="",様式14!$AQ$5&amp;様式14!$AR$5&amp;ROW(入力!D47)&amp;" 未入力",入力!D47)</f>
        <v>1</v>
      </c>
    </row>
    <row r="41" spans="14:14" ht="18.600000000000001" customHeight="1" x14ac:dyDescent="0.15">
      <c r="N41" s="2">
        <f>IF(入力!D48="",様式14!$AQ$5&amp;様式14!$AR$5&amp;ROW(入力!D48)&amp;" 未入力",入力!D48)</f>
        <v>1</v>
      </c>
    </row>
    <row r="42" spans="14:14" ht="18.600000000000001" customHeight="1" x14ac:dyDescent="0.15">
      <c r="N42" s="2" t="str">
        <f>IF(COUNTIF(N20,"*受けない*"),"－",IF(入力!D70="",様式14!$AQ$5&amp;様式14!$AR$5&amp;ROW(入力!D70)&amp;" 未入力",入力!D70))</f>
        <v>自動車</v>
      </c>
    </row>
    <row r="43" spans="14:14" ht="18.600000000000001" customHeight="1" x14ac:dyDescent="0.15">
      <c r="N43" s="2" t="str">
        <f>IF(COUNTIF(N22,"*受けない*"),"－",IF(入力!D78="",様式14!$AQ$5&amp;様式14!$AR$5&amp;ROW(入力!D78)&amp;" 未入力",入力!D78))</f>
        <v>緊急時連絡の受信を電話で行う</v>
      </c>
    </row>
    <row r="44" spans="14:14" ht="18.600000000000001" customHeight="1" x14ac:dyDescent="0.15">
      <c r="N44" s="2" t="str">
        <f>IF(COUNTIF(N22,"*受けない*"),"－",IF(入力!D79="",様式14!$AQ$5&amp;様式14!$AR$5&amp;ROW(入力!D79)&amp;" 未入力",入力!D79))</f>
        <v>●●●●-●●-●●●●</v>
      </c>
    </row>
    <row r="45" spans="14:14" ht="18.600000000000001" customHeight="1" x14ac:dyDescent="0.15">
      <c r="N45" s="2" t="str">
        <f>IF(OR(COUNTIF(N22,"*受けない*"),COUNTIF(N43,"*電話で行う*")),"－",IF(入力!D80="",様式14!$AQ$5&amp;様式14!$AR$5&amp;ROW(入力!D80)&amp;" 未入力",入力!D80))</f>
        <v>－</v>
      </c>
    </row>
    <row r="46" spans="14:14" ht="18.600000000000001" customHeight="1" x14ac:dyDescent="0.15">
      <c r="N46" s="2" t="str">
        <f>IF(COUNTIF(N20,"*受けない*"),"－",IF(入力!D77="",様式14!$AQ$5&amp;様式14!$AR$5&amp;ROW(入力!D77)&amp;" 未入力",入力!D77))</f>
        <v>集中監視システムを一部の一般消費者等に導入している</v>
      </c>
    </row>
    <row r="47" spans="14:14" ht="18.600000000000001" customHeight="1" x14ac:dyDescent="0.15"/>
    <row r="48" spans="14:14"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sheetData>
  <sheetProtection sheet="1" objects="1" scenarios="1"/>
  <mergeCells count="29">
    <mergeCell ref="B8:C8"/>
    <mergeCell ref="A11:B17"/>
    <mergeCell ref="D1:K1"/>
    <mergeCell ref="A2:K2"/>
    <mergeCell ref="A5:C5"/>
    <mergeCell ref="B7:C7"/>
    <mergeCell ref="D7:K7"/>
    <mergeCell ref="A3:K3"/>
    <mergeCell ref="A4:K4"/>
    <mergeCell ref="E5:F5"/>
    <mergeCell ref="E6:F6"/>
    <mergeCell ref="E8:F8"/>
    <mergeCell ref="E9:F9"/>
    <mergeCell ref="E10:F10"/>
    <mergeCell ref="F19:K19"/>
    <mergeCell ref="B18:C20"/>
    <mergeCell ref="D20:K20"/>
    <mergeCell ref="G9:H9"/>
    <mergeCell ref="D12:K12"/>
    <mergeCell ref="D13:K13"/>
    <mergeCell ref="D14:K14"/>
    <mergeCell ref="D15:K15"/>
    <mergeCell ref="D16:K16"/>
    <mergeCell ref="D17:K17"/>
    <mergeCell ref="D18:K18"/>
    <mergeCell ref="D11:K11"/>
    <mergeCell ref="B10:C10"/>
    <mergeCell ref="B9:C9"/>
    <mergeCell ref="D19:E19"/>
  </mergeCells>
  <phoneticPr fontId="1"/>
  <conditionalFormatting sqref="D1">
    <cfRule type="expression" dxfId="107" priority="3">
      <formula>D1="未入力あり"</formula>
    </cfRule>
  </conditionalFormatting>
  <conditionalFormatting sqref="N1:N100">
    <cfRule type="expression" dxfId="106" priority="1">
      <formula>FIND("未入力",N1)</formula>
    </cfRule>
    <cfRule type="expression" dxfId="105" priority="2">
      <formula>_xlfn.ISFORMULA(N1)</formula>
    </cfRule>
  </conditionalFormatting>
  <pageMargins left="0.70866141732283472" right="0.70866141732283472"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AQ54"/>
  <sheetViews>
    <sheetView workbookViewId="0">
      <selection activeCell="A3" sqref="A3:AO3"/>
    </sheetView>
  </sheetViews>
  <sheetFormatPr defaultColWidth="8.75" defaultRowHeight="12.75" x14ac:dyDescent="0.15"/>
  <cols>
    <col min="1" max="1" width="2.125" style="2" customWidth="1"/>
    <col min="2" max="3" width="2.5" style="2" customWidth="1"/>
    <col min="4" max="41" width="2.125" style="2" customWidth="1"/>
    <col min="42" max="16384" width="8.75" style="2"/>
  </cols>
  <sheetData>
    <row r="1" spans="1:43" ht="18.600000000000001" customHeight="1" x14ac:dyDescent="0.15">
      <c r="A1" s="2" t="s">
        <v>62</v>
      </c>
      <c r="I1" s="166" t="str">
        <f>IF(COUNTIF(AQ29,"*受託する*"),"経済産業大臣による認定を受けること！",IF(COUNTIF(AQ1:AQ103,"*未入力*"),"未入力あり",""))</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2" s="248" t="str">
        <f>"事業者名："&amp;AQ5</f>
        <v>事業者名：○○株式会社</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1:43" ht="18.600000000000001" customHeight="1" x14ac:dyDescent="0.15">
      <c r="A3" s="256" t="s">
        <v>40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row r="5" spans="1:43" ht="18.600000000000001" customHeight="1" x14ac:dyDescent="0.15">
      <c r="A5" s="249" t="s">
        <v>41</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Q5" s="2" t="str">
        <f>IF(入力!D5="",様式14!$AQ$5&amp;様式14!$AR$5&amp;ROW(入力!D5)&amp;" 未入力",入力!D5)</f>
        <v>○○株式会社</v>
      </c>
    </row>
    <row r="6" spans="1:43" ht="18.600000000000001" customHeight="1" x14ac:dyDescent="0.15">
      <c r="A6" s="164" t="s">
        <v>43</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row>
    <row r="7" spans="1:43" ht="18.600000000000001" customHeight="1" x14ac:dyDescent="0.15">
      <c r="B7" s="238" t="s">
        <v>42</v>
      </c>
      <c r="C7" s="240"/>
      <c r="D7" s="238" t="s">
        <v>58</v>
      </c>
      <c r="E7" s="239"/>
      <c r="F7" s="239"/>
      <c r="G7" s="239"/>
      <c r="H7" s="239"/>
      <c r="I7" s="239"/>
      <c r="J7" s="239"/>
      <c r="K7" s="239"/>
      <c r="L7" s="239"/>
      <c r="M7" s="239"/>
      <c r="N7" s="239"/>
      <c r="O7" s="239"/>
      <c r="P7" s="239"/>
      <c r="Q7" s="239"/>
      <c r="R7" s="239"/>
      <c r="S7" s="239"/>
      <c r="T7" s="239"/>
      <c r="U7" s="239"/>
      <c r="V7" s="239"/>
      <c r="W7" s="239"/>
      <c r="X7" s="239"/>
      <c r="Y7" s="239"/>
      <c r="Z7" s="239"/>
      <c r="AA7" s="239"/>
      <c r="AB7" s="239"/>
      <c r="AC7" s="240"/>
      <c r="AD7" s="238" t="s">
        <v>59</v>
      </c>
      <c r="AE7" s="239"/>
      <c r="AF7" s="239"/>
      <c r="AG7" s="239"/>
      <c r="AH7" s="239"/>
      <c r="AI7" s="239"/>
      <c r="AJ7" s="239"/>
      <c r="AK7" s="239"/>
      <c r="AL7" s="239"/>
      <c r="AM7" s="239"/>
      <c r="AN7" s="239"/>
      <c r="AO7" s="240"/>
    </row>
    <row r="8" spans="1:43" ht="24.95" customHeight="1" x14ac:dyDescent="0.15">
      <c r="B8" s="238" t="str">
        <f>IF(AQ8="個人","○","")</f>
        <v/>
      </c>
      <c r="C8" s="240"/>
      <c r="D8" s="250" t="s">
        <v>44</v>
      </c>
      <c r="E8" s="251"/>
      <c r="F8" s="251"/>
      <c r="G8" s="251"/>
      <c r="H8" s="251"/>
      <c r="I8" s="251"/>
      <c r="J8" s="251"/>
      <c r="K8" s="251"/>
      <c r="L8" s="251"/>
      <c r="M8" s="251"/>
      <c r="N8" s="251"/>
      <c r="O8" s="251"/>
      <c r="P8" s="251"/>
      <c r="Q8" s="251"/>
      <c r="R8" s="251"/>
      <c r="S8" s="251"/>
      <c r="T8" s="251"/>
      <c r="U8" s="251"/>
      <c r="V8" s="251"/>
      <c r="W8" s="251"/>
      <c r="X8" s="251"/>
      <c r="Y8" s="251"/>
      <c r="Z8" s="251"/>
      <c r="AA8" s="251"/>
      <c r="AB8" s="251"/>
      <c r="AC8" s="252"/>
      <c r="AD8" s="250" t="s">
        <v>51</v>
      </c>
      <c r="AE8" s="251"/>
      <c r="AF8" s="251"/>
      <c r="AG8" s="251"/>
      <c r="AH8" s="251"/>
      <c r="AI8" s="251"/>
      <c r="AJ8" s="251"/>
      <c r="AK8" s="251"/>
      <c r="AL8" s="251"/>
      <c r="AM8" s="251"/>
      <c r="AN8" s="251"/>
      <c r="AO8" s="252"/>
      <c r="AQ8" s="2" t="str">
        <f>IF(入力!D3="",様式14!$AQ$5&amp;様式14!$AR$5&amp;ROW(入力!D3)&amp;" 未入力",入力!D3)</f>
        <v>法人</v>
      </c>
    </row>
    <row r="9" spans="1:43" ht="24.95" customHeight="1" x14ac:dyDescent="0.15">
      <c r="B9" s="238" t="str">
        <f>IF(AQ9="一般社団法人","○","")</f>
        <v/>
      </c>
      <c r="C9" s="240"/>
      <c r="D9" s="250" t="s">
        <v>45</v>
      </c>
      <c r="E9" s="251"/>
      <c r="F9" s="251"/>
      <c r="G9" s="251"/>
      <c r="H9" s="251"/>
      <c r="I9" s="251"/>
      <c r="J9" s="251"/>
      <c r="K9" s="251"/>
      <c r="L9" s="251"/>
      <c r="M9" s="251"/>
      <c r="N9" s="251"/>
      <c r="O9" s="251"/>
      <c r="P9" s="251"/>
      <c r="Q9" s="251"/>
      <c r="R9" s="251"/>
      <c r="S9" s="251"/>
      <c r="T9" s="251"/>
      <c r="U9" s="251"/>
      <c r="V9" s="251"/>
      <c r="W9" s="251"/>
      <c r="X9" s="251"/>
      <c r="Y9" s="251"/>
      <c r="Z9" s="251"/>
      <c r="AA9" s="251"/>
      <c r="AB9" s="251"/>
      <c r="AC9" s="252"/>
      <c r="AD9" s="250" t="s">
        <v>52</v>
      </c>
      <c r="AE9" s="251"/>
      <c r="AF9" s="251"/>
      <c r="AG9" s="251"/>
      <c r="AH9" s="251"/>
      <c r="AI9" s="251"/>
      <c r="AJ9" s="251"/>
      <c r="AK9" s="251"/>
      <c r="AL9" s="251"/>
      <c r="AM9" s="251"/>
      <c r="AN9" s="251"/>
      <c r="AO9" s="252"/>
      <c r="AQ9" s="2" t="str">
        <f>IF(AQ8="個人","",IF(入力!D4="",様式14!$AQ$5&amp;様式14!$AR$5&amp;ROW(入力!D4)&amp;" 未入力",入力!D4))</f>
        <v>株式会社、有限会社</v>
      </c>
    </row>
    <row r="10" spans="1:43" ht="24.95" customHeight="1" x14ac:dyDescent="0.15">
      <c r="B10" s="238" t="str">
        <f>IF(AQ9="株式会社、有限会社","○","")</f>
        <v>○</v>
      </c>
      <c r="C10" s="240"/>
      <c r="D10" s="250" t="s">
        <v>46</v>
      </c>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2"/>
      <c r="AD10" s="250" t="s">
        <v>53</v>
      </c>
      <c r="AE10" s="251"/>
      <c r="AF10" s="251"/>
      <c r="AG10" s="251"/>
      <c r="AH10" s="251"/>
      <c r="AI10" s="251"/>
      <c r="AJ10" s="251"/>
      <c r="AK10" s="251"/>
      <c r="AL10" s="251"/>
      <c r="AM10" s="251"/>
      <c r="AN10" s="251"/>
      <c r="AO10" s="252"/>
    </row>
    <row r="11" spans="1:43" ht="24.95" customHeight="1" x14ac:dyDescent="0.15">
      <c r="B11" s="238" t="str">
        <f>IF(AQ9="合名会社、合資会社、合同会社","○","")</f>
        <v/>
      </c>
      <c r="C11" s="240"/>
      <c r="D11" s="250" t="s">
        <v>47</v>
      </c>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2"/>
      <c r="AD11" s="250" t="s">
        <v>52</v>
      </c>
      <c r="AE11" s="251"/>
      <c r="AF11" s="251"/>
      <c r="AG11" s="251"/>
      <c r="AH11" s="251"/>
      <c r="AI11" s="251"/>
      <c r="AJ11" s="251"/>
      <c r="AK11" s="251"/>
      <c r="AL11" s="251"/>
      <c r="AM11" s="251"/>
      <c r="AN11" s="251"/>
      <c r="AO11" s="252"/>
    </row>
    <row r="12" spans="1:43" ht="24.95" customHeight="1" x14ac:dyDescent="0.15">
      <c r="B12" s="238" t="str">
        <f>IF(AQ9="事業協同組合、事業協同小組合、企業組合、農業協同組合","○","")</f>
        <v/>
      </c>
      <c r="C12" s="240"/>
      <c r="D12" s="250" t="s">
        <v>48</v>
      </c>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2"/>
      <c r="AD12" s="250" t="s">
        <v>54</v>
      </c>
      <c r="AE12" s="251"/>
      <c r="AF12" s="251"/>
      <c r="AG12" s="251"/>
      <c r="AH12" s="251"/>
      <c r="AI12" s="251"/>
      <c r="AJ12" s="251"/>
      <c r="AK12" s="251"/>
      <c r="AL12" s="251"/>
      <c r="AM12" s="251"/>
      <c r="AN12" s="251"/>
      <c r="AO12" s="252"/>
    </row>
    <row r="13" spans="1:43" x14ac:dyDescent="0.15">
      <c r="B13" s="238" t="str">
        <f>IF(AQ9="協同組合連合会、農業協同組合連合会","○","")</f>
        <v/>
      </c>
      <c r="C13" s="240"/>
      <c r="D13" s="250" t="s">
        <v>49</v>
      </c>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2"/>
      <c r="AD13" s="253" t="s">
        <v>55</v>
      </c>
      <c r="AE13" s="254"/>
      <c r="AF13" s="254"/>
      <c r="AG13" s="254"/>
      <c r="AH13" s="254"/>
      <c r="AI13" s="254"/>
      <c r="AJ13" s="254"/>
      <c r="AK13" s="254"/>
      <c r="AL13" s="254"/>
      <c r="AM13" s="254"/>
      <c r="AN13" s="254"/>
      <c r="AO13" s="255"/>
    </row>
    <row r="14" spans="1:43" x14ac:dyDescent="0.15">
      <c r="B14" s="238" t="str">
        <f>IF(入力!D$3="個人","○","")</f>
        <v/>
      </c>
      <c r="C14" s="240"/>
      <c r="D14" s="250"/>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2"/>
      <c r="AD14" s="261" t="s">
        <v>60</v>
      </c>
      <c r="AE14" s="262"/>
      <c r="AF14" s="262"/>
      <c r="AG14" s="262"/>
      <c r="AH14" s="262"/>
      <c r="AI14" s="262"/>
      <c r="AJ14" s="262"/>
      <c r="AK14" s="262"/>
      <c r="AL14" s="262"/>
      <c r="AM14" s="262"/>
      <c r="AN14" s="262"/>
      <c r="AO14" s="263"/>
    </row>
    <row r="15" spans="1:43" ht="12.95" customHeight="1" x14ac:dyDescent="0.15">
      <c r="B15" s="238" t="str">
        <f>IF(AQ9="その他の法人","○","")</f>
        <v/>
      </c>
      <c r="C15" s="240"/>
      <c r="D15" s="251" t="s">
        <v>50</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2"/>
      <c r="AD15" s="253" t="s">
        <v>56</v>
      </c>
      <c r="AE15" s="254"/>
      <c r="AF15" s="254"/>
      <c r="AG15" s="254"/>
      <c r="AH15" s="254"/>
      <c r="AI15" s="254"/>
      <c r="AJ15" s="254"/>
      <c r="AK15" s="254"/>
      <c r="AL15" s="254"/>
      <c r="AM15" s="254"/>
      <c r="AN15" s="254"/>
      <c r="AO15" s="255"/>
    </row>
    <row r="16" spans="1:43" x14ac:dyDescent="0.15">
      <c r="B16" s="238" t="str">
        <f>IF(入力!D$3="個人","○","")</f>
        <v/>
      </c>
      <c r="C16" s="240"/>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2"/>
      <c r="AD16" s="261" t="s">
        <v>61</v>
      </c>
      <c r="AE16" s="262"/>
      <c r="AF16" s="262"/>
      <c r="AG16" s="262"/>
      <c r="AH16" s="262"/>
      <c r="AI16" s="262"/>
      <c r="AJ16" s="262"/>
      <c r="AK16" s="262"/>
      <c r="AL16" s="262"/>
      <c r="AM16" s="262"/>
      <c r="AN16" s="262"/>
      <c r="AO16" s="263"/>
    </row>
    <row r="17" spans="1:43" ht="15" customHeight="1" x14ac:dyDescent="0.15">
      <c r="A17" s="164" t="s">
        <v>130</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row>
    <row r="18" spans="1:43" ht="15" customHeight="1" x14ac:dyDescent="0.15">
      <c r="A18" s="164" t="s">
        <v>131</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row>
    <row r="19" spans="1:43" ht="18.600000000000001" customHeight="1" x14ac:dyDescent="0.15">
      <c r="A19" s="164" t="str">
        <f>" (2) 液化石油ガスの一般消費者等への販売事業："&amp;IF(COUNTIF(AQ19,"*行っている*"),"■","□")&amp;"あり　"&amp;IF(COUNTIF(AQ19,"*行っていない*"),"■","□")&amp;"なし"</f>
        <v xml:space="preserve"> (2) 液化石油ガスの一般消費者等への販売事業：■あり　□なし</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Q19" s="2" t="str">
        <f>IF(入力!D50="",様式14!$AQ$5&amp;様式14!$AR$5&amp;ROW(入力!D50)&amp;" 未入力",入力!D50)</f>
        <v>LPガス販売事業を行っている</v>
      </c>
    </row>
    <row r="20" spans="1:43" ht="18.600000000000001" customHeight="1" x14ac:dyDescent="0.15">
      <c r="A20" s="164" t="str">
        <f>"   ① 滋賀県外の販売所："&amp;IF(COUNTIF(AQ20,"*ある*"),"■","□")&amp;"あり　"&amp;IF(OR(AQ20="",COUNTIF(AQ20,"*ない*")),"■","□")&amp;"なし"</f>
        <v xml:space="preserve">   ① 滋賀県外の販売所：□あり　■なし</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Q20" s="2" t="str">
        <f>IF(COUNTIF(AQ19,"*いない*"),"",IF(入力!D51="",様式14!$AQ$5&amp;様式14!$AR$5&amp;ROW(入力!D51)&amp;" 未入力",入力!D51))</f>
        <v>滋賀県外にLPガス販売所はない</v>
      </c>
    </row>
    <row r="21" spans="1:43" ht="18.600000000000001" customHeight="1" x14ac:dyDescent="0.15">
      <c r="A21" s="164" t="str">
        <f>"   ② 申請時に実際に販売している一般消費者等の数： "&amp;FIXED(AQ21,0)&amp;" 戸"</f>
        <v xml:space="preserve">   ② 申請時に実際に販売している一般消費者等の数： 250 戸</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Q21" s="2">
        <f>IF(COUNTIF(AQ19,"*いない*"),0,IF(入力!D52="",様式14!$AQ$5&amp;様式14!$AR$5&amp;ROW(入力!D52)&amp;" 未入力",入力!D52))</f>
        <v>250</v>
      </c>
    </row>
    <row r="22" spans="1:43" ht="13.5" x14ac:dyDescent="0.15">
      <c r="A22" s="257" t="s">
        <v>477</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Q22" s="2">
        <f>IF(入力!D8="",様式14!$AQ$5&amp;様式14!$AR$5&amp;ROW(入力!D8)&amp;" 未入力",入力!D8)</f>
        <v>1</v>
      </c>
    </row>
    <row r="23" spans="1:43" ht="13.5" x14ac:dyDescent="0.15">
      <c r="A23" s="259" t="s">
        <v>478</v>
      </c>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row>
    <row r="24" spans="1:43" ht="18.600000000000001" customHeight="1" x14ac:dyDescent="0.15"/>
    <row r="25" spans="1:43" ht="18.600000000000001" customHeight="1" x14ac:dyDescent="0.15">
      <c r="A25" s="249" t="s">
        <v>57</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row>
    <row r="26" spans="1:43" ht="18.600000000000001" customHeight="1" x14ac:dyDescent="0.15">
      <c r="A26" s="164" t="str">
        <f>" (1) 自社が販売する一般消費者等への保安業務："&amp;IF(COUNTIF(AQ26,"*行う*"),"■","□")&amp;"あり　"&amp;IF(OR(COUNTIF(AQ19,"*行っていない*"),COUNTIF(AQ26,"*行わない*")),"■","□")&amp;"なし"</f>
        <v xml:space="preserve"> (1) 自社が販売する一般消費者等への保安業務：■あり　□なし</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Q26" s="2" t="str">
        <f>IF(COUNTIF(AQ19,"*いない*"),"",IF(入力!D54="",様式14!$AQ$5&amp;様式14!$AR$5&amp;ROW(入力!D54)&amp;" 未入力",入力!D54))</f>
        <v>自社が販売する一般消費者等へ保安業務を行う</v>
      </c>
    </row>
    <row r="27" spans="1:43" ht="18.600000000000001" customHeight="1" x14ac:dyDescent="0.15">
      <c r="A27" s="164" t="str">
        <f>" (2) 他の液化石油ガス販売事業者から委託を受ける保安業務："&amp;IF(COUNTIF(AQ27,"*受託する*"),"■","□")&amp;"あり　"&amp;IF(COUNTIF(AQ27,"*受けない*"),"■","□")&amp;"なし"</f>
        <v xml:space="preserve"> (2) 他の液化石油ガス販売事業者から委託を受ける保安業務：□あり　■なし</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Q27" s="2" t="str">
        <f>IF(入力!D55="",様式14!$AQ$5&amp;様式14!$AR$5&amp;ROW(入力!D55)&amp;" 未入力",入力!D55)</f>
        <v>他の販売事業者から保安業務を受けない</v>
      </c>
    </row>
    <row r="28" spans="1:43" ht="18.600000000000001" customHeight="1" x14ac:dyDescent="0.15">
      <c r="A28" s="164" t="s">
        <v>476</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row>
    <row r="29" spans="1:43" ht="18.600000000000001" customHeight="1" x14ac:dyDescent="0.15">
      <c r="A29" s="2" t="str">
        <f>" (3) 自社に保安業務を委託する滋賀県外の液化石油ガス販売事業者："&amp;IF(COUNTIF(AQ29,"*受託する*"),"■","□")&amp;"あり　"&amp;IF(OR(COUNTIF(AQ27,"*受けない*"),COUNTIF(AQ29,"*受けない*")),"■","□")&amp;"なし"</f>
        <v xml:space="preserve"> (3) 自社に保安業務を委託する滋賀県外の液化石油ガス販売事業者：□あり　■なし</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Q29" s="2" t="str">
        <f>IF(COUNTIF(AQ27,"*受けない*"),"",IF(入力!D56="",様式14!$AQ$5&amp;様式14!$AR$5&amp;ROW(入力!D56)&amp;" 未入力",入力!D56))</f>
        <v/>
      </c>
    </row>
    <row r="30" spans="1:43" ht="18.600000000000001" customHeight="1" x14ac:dyDescent="0.15"/>
    <row r="31" spans="1:43" ht="18.600000000000001" customHeight="1" x14ac:dyDescent="0.15"/>
    <row r="32" spans="1:43" ht="18.600000000000001" customHeight="1" x14ac:dyDescent="0.15">
      <c r="A32" s="19"/>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row>
    <row r="33" ht="18.600000000000001" customHeight="1" x14ac:dyDescent="0.15"/>
    <row r="34" ht="18.600000000000001" customHeight="1" x14ac:dyDescent="0.15"/>
    <row r="35" ht="18.600000000000001" customHeight="1" x14ac:dyDescent="0.15"/>
    <row r="36" ht="18.600000000000001" customHeight="1" x14ac:dyDescent="0.15"/>
    <row r="37" ht="18.600000000000001" customHeight="1" x14ac:dyDescent="0.15"/>
    <row r="38" ht="18.600000000000001" customHeight="1" x14ac:dyDescent="0.15"/>
    <row r="39" ht="18.600000000000001" customHeight="1" x14ac:dyDescent="0.15"/>
    <row r="40" ht="18.600000000000001" customHeight="1" x14ac:dyDescent="0.15"/>
    <row r="41" ht="18.600000000000001" customHeight="1" x14ac:dyDescent="0.15"/>
    <row r="42" ht="18.600000000000001" customHeight="1" x14ac:dyDescent="0.15"/>
    <row r="43" ht="18.600000000000001" customHeight="1" x14ac:dyDescent="0.15"/>
    <row r="44" ht="18.600000000000001" customHeight="1" x14ac:dyDescent="0.15"/>
    <row r="45" ht="18.600000000000001" customHeight="1" x14ac:dyDescent="0.15"/>
    <row r="46" ht="18.600000000000001" customHeight="1" x14ac:dyDescent="0.15"/>
    <row r="47" ht="18.600000000000001" customHeight="1" x14ac:dyDescent="0.15"/>
    <row r="48" ht="18.600000000000001" customHeight="1" x14ac:dyDescent="0.15"/>
    <row r="49" ht="18.600000000000001" customHeight="1" x14ac:dyDescent="0.15"/>
    <row r="50" ht="18.600000000000001" customHeight="1" x14ac:dyDescent="0.15"/>
    <row r="51" ht="18.600000000000001" customHeight="1" x14ac:dyDescent="0.15"/>
    <row r="52" ht="18.600000000000001" customHeight="1" x14ac:dyDescent="0.15"/>
    <row r="53" ht="18.600000000000001" customHeight="1" x14ac:dyDescent="0.15"/>
    <row r="54" ht="18.600000000000001" customHeight="1" x14ac:dyDescent="0.15"/>
  </sheetData>
  <sheetProtection sheet="1" objects="1" scenarios="1"/>
  <mergeCells count="42">
    <mergeCell ref="A22:AO22"/>
    <mergeCell ref="A23:AO23"/>
    <mergeCell ref="A28:AO28"/>
    <mergeCell ref="I1:AO1"/>
    <mergeCell ref="AD14:AO14"/>
    <mergeCell ref="B15:C16"/>
    <mergeCell ref="D15:AC16"/>
    <mergeCell ref="AD16:AO16"/>
    <mergeCell ref="D7:AC7"/>
    <mergeCell ref="B7:C7"/>
    <mergeCell ref="B12:C12"/>
    <mergeCell ref="B11:C11"/>
    <mergeCell ref="B10:C10"/>
    <mergeCell ref="B9:C9"/>
    <mergeCell ref="B8:C8"/>
    <mergeCell ref="B13:C14"/>
    <mergeCell ref="D13:AC14"/>
    <mergeCell ref="A3:AO3"/>
    <mergeCell ref="D8:AC8"/>
    <mergeCell ref="D10:AC10"/>
    <mergeCell ref="D9:AC9"/>
    <mergeCell ref="AD15:AO15"/>
    <mergeCell ref="AD13:AO13"/>
    <mergeCell ref="AD12:AO12"/>
    <mergeCell ref="AD11:AO11"/>
    <mergeCell ref="AD10:AO10"/>
    <mergeCell ref="A26:AO26"/>
    <mergeCell ref="A27:AO27"/>
    <mergeCell ref="A2:AO2"/>
    <mergeCell ref="A19:AO19"/>
    <mergeCell ref="A20:AO20"/>
    <mergeCell ref="A21:AO21"/>
    <mergeCell ref="A25:AO25"/>
    <mergeCell ref="AD7:AO7"/>
    <mergeCell ref="A5:AO5"/>
    <mergeCell ref="A6:AO6"/>
    <mergeCell ref="A17:AO17"/>
    <mergeCell ref="A18:AO18"/>
    <mergeCell ref="AD9:AO9"/>
    <mergeCell ref="AD8:AO8"/>
    <mergeCell ref="D12:AC12"/>
    <mergeCell ref="D11:AC11"/>
  </mergeCells>
  <phoneticPr fontId="1"/>
  <conditionalFormatting sqref="A22:A23">
    <cfRule type="expression" dxfId="104" priority="2">
      <formula>OR(COUNTIF($AQ$19,"*いない*"),$AQ$22=1)</formula>
    </cfRule>
  </conditionalFormatting>
  <conditionalFormatting sqref="A28">
    <cfRule type="expression" dxfId="103" priority="1">
      <formula>COUNTIF($AQ$27,"*受けない*")</formula>
    </cfRule>
  </conditionalFormatting>
  <conditionalFormatting sqref="I1">
    <cfRule type="expression" dxfId="102" priority="3">
      <formula>COUNTIF($I$1,"*経済産業大臣*")</formula>
    </cfRule>
    <cfRule type="expression" dxfId="101" priority="6">
      <formula>I1="未入力あり"</formula>
    </cfRule>
  </conditionalFormatting>
  <conditionalFormatting sqref="AQ1:AQ103">
    <cfRule type="expression" dxfId="100" priority="4">
      <formula>FIND("未入力",AQ1)</formula>
    </cfRule>
    <cfRule type="expression" dxfId="99" priority="5">
      <formula>_xlfn.ISFORMULA(AQ1)</formula>
    </cfRule>
  </conditionalFormatting>
  <pageMargins left="0.78740157480314965" right="0.78740157480314965" top="0.59055118110236227"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K40"/>
  <sheetViews>
    <sheetView workbookViewId="0">
      <selection activeCell="A3" sqref="A3:H3"/>
    </sheetView>
  </sheetViews>
  <sheetFormatPr defaultColWidth="8.75" defaultRowHeight="12.75" x14ac:dyDescent="0.15"/>
  <cols>
    <col min="1" max="1" width="43.375" style="2" customWidth="1"/>
    <col min="2" max="9" width="11.125" style="2" customWidth="1"/>
    <col min="10" max="16384" width="8.75" style="2"/>
  </cols>
  <sheetData>
    <row r="1" spans="1:11" ht="18.600000000000001" customHeight="1" x14ac:dyDescent="0.15">
      <c r="A1" s="2" t="s">
        <v>479</v>
      </c>
      <c r="B1" s="166" t="str">
        <f>IF(AND(OR(COUNTIF(K10,"*いない*"),K9=1),COUNTIF(入力!D55,"*受けない*")),"提出不要",IF(COUNTIF(K11,"*受託する*"),"経済産業大臣による認定を受けること！",IF(COUNTIF(K1:K92,"*未入力*"),"未入力あり","")))</f>
        <v>提出不要</v>
      </c>
      <c r="C1" s="166"/>
      <c r="D1" s="166"/>
      <c r="E1" s="166"/>
      <c r="F1" s="166"/>
      <c r="G1" s="166"/>
      <c r="H1" s="166"/>
      <c r="I1" s="166"/>
    </row>
    <row r="2" spans="1:11" ht="18.600000000000001" customHeight="1" x14ac:dyDescent="0.15">
      <c r="A2" s="264" t="str">
        <f>"事業者名："&amp;K5</f>
        <v>事業者名：○○株式会社</v>
      </c>
      <c r="B2" s="264"/>
      <c r="C2" s="264"/>
      <c r="D2" s="264"/>
      <c r="E2" s="264"/>
      <c r="F2" s="264"/>
      <c r="G2" s="264"/>
      <c r="H2" s="264"/>
      <c r="I2" s="264"/>
    </row>
    <row r="3" spans="1:11" ht="18.600000000000001" customHeight="1" x14ac:dyDescent="0.15">
      <c r="A3" s="271" t="s">
        <v>577</v>
      </c>
      <c r="B3" s="272"/>
      <c r="C3" s="272"/>
      <c r="D3" s="272"/>
      <c r="E3" s="272"/>
      <c r="F3" s="272"/>
      <c r="G3" s="272"/>
      <c r="H3" s="272"/>
      <c r="I3" s="3" t="s">
        <v>63</v>
      </c>
    </row>
    <row r="4" spans="1:11" ht="18.600000000000001" customHeight="1" x14ac:dyDescent="0.15">
      <c r="A4" s="265" t="s">
        <v>466</v>
      </c>
      <c r="B4" s="267" t="s">
        <v>475</v>
      </c>
      <c r="C4" s="268" t="s">
        <v>474</v>
      </c>
      <c r="D4" s="269"/>
      <c r="E4" s="269"/>
      <c r="F4" s="269"/>
      <c r="G4" s="269"/>
      <c r="H4" s="269"/>
      <c r="I4" s="270"/>
    </row>
    <row r="5" spans="1:11" ht="38.25" x14ac:dyDescent="0.15">
      <c r="A5" s="266"/>
      <c r="B5" s="266"/>
      <c r="C5" s="99" t="s">
        <v>187</v>
      </c>
      <c r="D5" s="100" t="s">
        <v>578</v>
      </c>
      <c r="E5" s="100" t="s">
        <v>579</v>
      </c>
      <c r="F5" s="100" t="s">
        <v>580</v>
      </c>
      <c r="G5" s="100" t="s">
        <v>32</v>
      </c>
      <c r="H5" s="100" t="s">
        <v>472</v>
      </c>
      <c r="I5" s="101" t="s">
        <v>473</v>
      </c>
      <c r="K5" s="2" t="str">
        <f>IF(入力!D5="",様式14!$AQ$5&amp;様式14!$AR$5&amp;ROW(入力!D5)&amp;" 未入力",入力!D5)</f>
        <v>○○株式会社</v>
      </c>
    </row>
    <row r="6" spans="1:11" ht="18.600000000000001" customHeight="1" x14ac:dyDescent="0.15">
      <c r="A6" s="54" t="str">
        <f>IF(AND(K9=1,K6="同じ"),K5,IF(AND(K9=1,K6="別の名称"),K7,""))</f>
        <v>○○株式会社</v>
      </c>
      <c r="B6" s="102">
        <f>IF(K9=1,K12,"")</f>
        <v>250</v>
      </c>
      <c r="C6" s="92"/>
      <c r="D6" s="93"/>
      <c r="E6" s="93"/>
      <c r="F6" s="93"/>
      <c r="G6" s="93"/>
      <c r="H6" s="93"/>
      <c r="I6" s="94"/>
      <c r="K6" s="2" t="str">
        <f>IF(入力!D9="",様式14!$AQ$5&amp;様式14!$AR$5&amp;ROW(入力!D9)&amp;" 未入力",入力!D9)</f>
        <v>同じ</v>
      </c>
    </row>
    <row r="7" spans="1:11" ht="18.600000000000001" customHeight="1" x14ac:dyDescent="0.15">
      <c r="A7" s="54"/>
      <c r="B7" s="102"/>
      <c r="C7" s="92"/>
      <c r="D7" s="93"/>
      <c r="E7" s="93"/>
      <c r="F7" s="93"/>
      <c r="G7" s="93"/>
      <c r="H7" s="93"/>
      <c r="I7" s="94"/>
      <c r="K7" s="2" t="str">
        <f>IF(K6="同じ","",IF(入力!D10="",様式14!$AQ$5&amp;様式14!$AR$5&amp;ROW(入力!D10)&amp;" 未入力",入力!D10))</f>
        <v/>
      </c>
    </row>
    <row r="8" spans="1:11" ht="18.600000000000001" customHeight="1" x14ac:dyDescent="0.15">
      <c r="A8" s="54"/>
      <c r="B8" s="102"/>
      <c r="C8" s="92"/>
      <c r="D8" s="93"/>
      <c r="E8" s="93"/>
      <c r="F8" s="93"/>
      <c r="G8" s="93"/>
      <c r="H8" s="93"/>
      <c r="I8" s="94"/>
      <c r="K8" s="2" t="str">
        <f>IF(入力!D55="",様式14!$AQ$5&amp;様式14!$AR$5&amp;ROW(入力!D55)&amp;" 未入力",入力!D55)</f>
        <v>他の販売事業者から保安業務を受けない</v>
      </c>
    </row>
    <row r="9" spans="1:11" ht="18.600000000000001" customHeight="1" x14ac:dyDescent="0.15">
      <c r="A9" s="54"/>
      <c r="B9" s="102"/>
      <c r="C9" s="92"/>
      <c r="D9" s="93"/>
      <c r="E9" s="93"/>
      <c r="F9" s="93"/>
      <c r="G9" s="93"/>
      <c r="H9" s="93"/>
      <c r="I9" s="94"/>
      <c r="K9" s="2">
        <f>IF(入力!D8="",様式14!$AQ$5&amp;様式14!$AR$5&amp;ROW(入力!D8)&amp;" 未入力",入力!D8)</f>
        <v>1</v>
      </c>
    </row>
    <row r="10" spans="1:11" ht="18.600000000000001" customHeight="1" x14ac:dyDescent="0.15">
      <c r="A10" s="54"/>
      <c r="B10" s="102"/>
      <c r="C10" s="92"/>
      <c r="D10" s="93"/>
      <c r="E10" s="93"/>
      <c r="F10" s="93"/>
      <c r="G10" s="93"/>
      <c r="H10" s="93"/>
      <c r="I10" s="94"/>
      <c r="K10" s="2" t="str">
        <f>IF(入力!D50="",様式14!$AQ$5&amp;様式14!$AR$5&amp;ROW(入力!D50)&amp;" 未入力",入力!D50)</f>
        <v>LPガス販売事業を行っている</v>
      </c>
    </row>
    <row r="11" spans="1:11" ht="18.600000000000001" customHeight="1" x14ac:dyDescent="0.15">
      <c r="A11" s="54"/>
      <c r="B11" s="102"/>
      <c r="C11" s="92"/>
      <c r="D11" s="93"/>
      <c r="E11" s="93"/>
      <c r="F11" s="93"/>
      <c r="G11" s="93"/>
      <c r="H11" s="93"/>
      <c r="I11" s="94"/>
      <c r="K11" s="2" t="str">
        <f>IF(COUNTIF(K8,"*受けない*"),"",IF(入力!D56="",様式14!$AQ$5&amp;様式14!$AR$5&amp;ROW(入力!D56)&amp;" 未入力",入力!D56))</f>
        <v/>
      </c>
    </row>
    <row r="12" spans="1:11" ht="18.600000000000001" customHeight="1" x14ac:dyDescent="0.15">
      <c r="A12" s="54"/>
      <c r="B12" s="102"/>
      <c r="C12" s="92"/>
      <c r="D12" s="93"/>
      <c r="E12" s="93"/>
      <c r="F12" s="93"/>
      <c r="G12" s="93"/>
      <c r="H12" s="93"/>
      <c r="I12" s="94"/>
      <c r="K12" s="2">
        <f>IF(COUNTIF(K10,"*いない*"),"－",IF(入力!D52="",様式14!$AQ$5&amp;様式14!$AR$5&amp;ROW(入力!D52)&amp;" 未入力",入力!D52))</f>
        <v>250</v>
      </c>
    </row>
    <row r="13" spans="1:11" ht="18.600000000000001" customHeight="1" x14ac:dyDescent="0.15">
      <c r="A13" s="54"/>
      <c r="B13" s="102"/>
      <c r="C13" s="92"/>
      <c r="D13" s="93"/>
      <c r="E13" s="93"/>
      <c r="F13" s="93"/>
      <c r="G13" s="93"/>
      <c r="H13" s="93"/>
      <c r="I13" s="94"/>
    </row>
    <row r="14" spans="1:11" ht="18.600000000000001" customHeight="1" x14ac:dyDescent="0.15">
      <c r="A14" s="54"/>
      <c r="B14" s="102"/>
      <c r="C14" s="92"/>
      <c r="D14" s="93"/>
      <c r="E14" s="93"/>
      <c r="F14" s="93"/>
      <c r="G14" s="93"/>
      <c r="H14" s="93"/>
      <c r="I14" s="94"/>
    </row>
    <row r="15" spans="1:11" ht="18.600000000000001" customHeight="1" x14ac:dyDescent="0.15">
      <c r="A15" s="54"/>
      <c r="B15" s="102"/>
      <c r="C15" s="92"/>
      <c r="D15" s="93"/>
      <c r="E15" s="93"/>
      <c r="F15" s="93"/>
      <c r="G15" s="93"/>
      <c r="H15" s="93"/>
      <c r="I15" s="94"/>
    </row>
    <row r="16" spans="1:11" ht="18.600000000000001" customHeight="1" x14ac:dyDescent="0.15">
      <c r="A16" s="54"/>
      <c r="B16" s="102"/>
      <c r="C16" s="92"/>
      <c r="D16" s="93"/>
      <c r="E16" s="93"/>
      <c r="F16" s="93"/>
      <c r="G16" s="93"/>
      <c r="H16" s="93"/>
      <c r="I16" s="94"/>
    </row>
    <row r="17" spans="1:9" ht="18.600000000000001" customHeight="1" x14ac:dyDescent="0.15">
      <c r="A17" s="56"/>
      <c r="B17" s="103"/>
      <c r="C17" s="95"/>
      <c r="D17" s="96"/>
      <c r="E17" s="96"/>
      <c r="F17" s="96"/>
      <c r="G17" s="96"/>
      <c r="H17" s="96"/>
      <c r="I17" s="97"/>
    </row>
    <row r="18" spans="1:9" ht="18.600000000000001" customHeight="1" x14ac:dyDescent="0.15"/>
    <row r="19" spans="1:9" ht="18.600000000000001" customHeight="1" x14ac:dyDescent="0.15"/>
    <row r="20" spans="1:9" ht="18.600000000000001" customHeight="1" x14ac:dyDescent="0.15"/>
    <row r="21" spans="1:9" ht="18.600000000000001" customHeight="1" x14ac:dyDescent="0.15"/>
    <row r="22" spans="1:9" ht="18.600000000000001" customHeight="1" x14ac:dyDescent="0.15"/>
    <row r="23" spans="1:9" ht="18.600000000000001" customHeight="1" x14ac:dyDescent="0.15"/>
    <row r="24" spans="1:9" ht="18.600000000000001" customHeight="1" x14ac:dyDescent="0.15"/>
    <row r="25" spans="1:9" ht="18.600000000000001" customHeight="1" x14ac:dyDescent="0.15"/>
    <row r="26" spans="1:9" ht="18.600000000000001" customHeight="1" x14ac:dyDescent="0.15"/>
    <row r="27" spans="1:9" ht="18.600000000000001" customHeight="1" x14ac:dyDescent="0.15"/>
    <row r="28" spans="1:9" ht="18.600000000000001" customHeight="1" x14ac:dyDescent="0.15"/>
    <row r="29" spans="1:9" ht="18.600000000000001" customHeight="1" x14ac:dyDescent="0.15"/>
    <row r="30" spans="1:9" ht="18.600000000000001" customHeight="1" x14ac:dyDescent="0.15"/>
    <row r="31" spans="1:9" ht="18.600000000000001" customHeight="1" x14ac:dyDescent="0.15"/>
    <row r="32" spans="1:9" ht="18.600000000000001" customHeight="1" x14ac:dyDescent="0.15"/>
    <row r="33" ht="18.600000000000001" customHeight="1" x14ac:dyDescent="0.15"/>
    <row r="34" ht="18.600000000000001" customHeight="1" x14ac:dyDescent="0.15"/>
    <row r="35" ht="18.600000000000001" customHeight="1" x14ac:dyDescent="0.15"/>
    <row r="36" ht="18.600000000000001" customHeight="1" x14ac:dyDescent="0.15"/>
    <row r="37" ht="18.600000000000001" customHeight="1" x14ac:dyDescent="0.15"/>
    <row r="38" ht="18.600000000000001" customHeight="1" x14ac:dyDescent="0.15"/>
    <row r="39" ht="18.600000000000001" customHeight="1" x14ac:dyDescent="0.15"/>
    <row r="40" ht="18.600000000000001" customHeight="1" x14ac:dyDescent="0.15"/>
  </sheetData>
  <sheetProtection sheet="1" objects="1" scenarios="1" formatCells="0" formatColumns="0" formatRows="0" insertRows="0" deleteRows="0"/>
  <mergeCells count="6">
    <mergeCell ref="B1:I1"/>
    <mergeCell ref="A2:I2"/>
    <mergeCell ref="A4:A5"/>
    <mergeCell ref="B4:B5"/>
    <mergeCell ref="C4:I4"/>
    <mergeCell ref="A3:H3"/>
  </mergeCells>
  <phoneticPr fontId="1"/>
  <conditionalFormatting sqref="B4">
    <cfRule type="expression" dxfId="98" priority="6">
      <formula>FIND("いない",$K$10)</formula>
    </cfRule>
  </conditionalFormatting>
  <conditionalFormatting sqref="B6:B17">
    <cfRule type="expression" dxfId="97" priority="1042">
      <formula>AND(NOT($B$1="提出不要"),COUNTIF($K$10,"*行っている*"),ROWS(A$6:A6)&lt;=$K$9,B6="")</formula>
    </cfRule>
    <cfRule type="expression" dxfId="96" priority="1043">
      <formula>FIND("いない",$K$10)</formula>
    </cfRule>
  </conditionalFormatting>
  <conditionalFormatting sqref="B1:C1">
    <cfRule type="expression" dxfId="95" priority="12">
      <formula>B1="未入力あり"</formula>
    </cfRule>
  </conditionalFormatting>
  <conditionalFormatting sqref="B1:I1">
    <cfRule type="expression" dxfId="94" priority="10">
      <formula>COUNTIF($B$1,"*経済産業大臣*")</formula>
    </cfRule>
    <cfRule type="expression" dxfId="93" priority="11">
      <formula>$B$1="提出不要"</formula>
    </cfRule>
  </conditionalFormatting>
  <conditionalFormatting sqref="C4:I5">
    <cfRule type="expression" dxfId="92" priority="4">
      <formula>FIND("受けない",$K$8)</formula>
    </cfRule>
  </conditionalFormatting>
  <conditionalFormatting sqref="C6:I17 A6:A17">
    <cfRule type="expression" dxfId="91" priority="1044">
      <formula>AND(NOT($B$1="提出不要"),ROWS(A$6:A6)&lt;=$K$9,A6="")</formula>
    </cfRule>
  </conditionalFormatting>
  <conditionalFormatting sqref="C6:I17">
    <cfRule type="expression" dxfId="90" priority="3">
      <formula>FIND("いない",$K$8)</formula>
    </cfRule>
  </conditionalFormatting>
  <conditionalFormatting sqref="K1:K92">
    <cfRule type="expression" dxfId="89" priority="8">
      <formula>FIND("未入力",K1)</formula>
    </cfRule>
    <cfRule type="expression" dxfId="88" priority="9">
      <formula>_xlfn.ISFORMULA(K1)</formula>
    </cfRule>
  </conditionalFormatting>
  <pageMargins left="0.70866141732283472" right="0.70866141732283472" top="0.9055118110236221" bottom="0.78740157480314965"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AQ76"/>
  <sheetViews>
    <sheetView workbookViewId="0">
      <selection activeCell="A3" sqref="A3:AO3"/>
    </sheetView>
  </sheetViews>
  <sheetFormatPr defaultColWidth="8.75" defaultRowHeight="12.75" x14ac:dyDescent="0.15"/>
  <cols>
    <col min="1" max="1" width="2.125" style="2" customWidth="1"/>
    <col min="2" max="3" width="2.5" style="2" customWidth="1"/>
    <col min="4" max="40" width="2.125" style="2" customWidth="1"/>
    <col min="41" max="41" width="2.875" style="2" customWidth="1"/>
    <col min="42" max="16384" width="8.75" style="2"/>
  </cols>
  <sheetData>
    <row r="1" spans="1:43" ht="18.600000000000001" customHeight="1" x14ac:dyDescent="0.15">
      <c r="A1" s="2" t="s">
        <v>64</v>
      </c>
      <c r="I1" s="166" t="str">
        <f>IF(COUNTIF(AQ1:AQ100,"*未入力*"),"未入力あり",IF(COUNTIF(AQ11,"*受けない*"),"提出不要",IF(COUNTIF(AQ11,"*の認定を受ける*"),"")))</f>
        <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row>
    <row r="2" spans="1:43" ht="18.600000000000001" customHeight="1" x14ac:dyDescent="0.15">
      <c r="AO2" s="3"/>
    </row>
    <row r="3" spans="1:43" ht="18.600000000000001" customHeight="1" x14ac:dyDescent="0.15">
      <c r="A3" s="256" t="s">
        <v>65</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3" ht="18.600000000000001" customHeight="1" x14ac:dyDescent="0.15">
      <c r="A4" s="164" t="str">
        <f>"事業所の名称："&amp;IF(AQ5="個人",IF(AQ7="同じ",AQ6,AQ8),AQ6&amp;"　"&amp;AQ8)</f>
        <v>事業所の名称：○○株式会社　</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row>
    <row r="5" spans="1:43" ht="18.600000000000001" customHeight="1" x14ac:dyDescent="0.15">
      <c r="A5" s="220" t="str">
        <f>"事業所の所在地："&amp;IF(AQ10="",AQ9,AQ10)</f>
        <v>事業所の所在地：○○市○○町１－２－２０</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Q5" s="2" t="str">
        <f>IF(入力!D3="",様式14!$AQ$5&amp;様式14!$AR$5&amp;ROW(入力!D3)&amp;" 未入力",入力!D3)</f>
        <v>法人</v>
      </c>
    </row>
    <row r="6" spans="1:43" ht="18.600000000000001" customHeight="1" x14ac:dyDescent="0.15">
      <c r="A6" s="57"/>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9"/>
      <c r="AQ6" s="2" t="str">
        <f>IF(入力!D5="",様式14!$AQ$5&amp;様式14!$AR$5&amp;ROW(入力!D5)&amp;" 未入力",入力!D5)</f>
        <v>○○株式会社</v>
      </c>
    </row>
    <row r="7" spans="1:43" ht="18.600000000000001" customHeight="1" x14ac:dyDescent="0.15">
      <c r="A7" s="60"/>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c r="AQ7" s="2" t="str">
        <f>IF(入力!D9="",様式14!$AQ$5&amp;様式14!$AR$5&amp;ROW(入力!D9)&amp;" 未入力",入力!D9)</f>
        <v>同じ</v>
      </c>
    </row>
    <row r="8" spans="1:43" ht="18.600000000000001" customHeight="1" x14ac:dyDescent="0.15">
      <c r="A8" s="60"/>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2"/>
      <c r="AQ8" s="2" t="str">
        <f>IF(AQ7="同じ","",IF(入力!D10="",様式14!$AQ$5&amp;様式14!$AR$5&amp;ROW(入力!D10)&amp;" 未入力",入力!D10))</f>
        <v/>
      </c>
    </row>
    <row r="9" spans="1:43" ht="18.600000000000001" customHeight="1" x14ac:dyDescent="0.15">
      <c r="A9" s="60"/>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2"/>
      <c r="AQ9" s="2" t="str">
        <f>IF(入力!D7="",様式14!$AQ$5&amp;様式14!$AR$5&amp;ROW(入力!D7)&amp;" 未入力",入力!D7)</f>
        <v>○○市○○町１－２－２０</v>
      </c>
    </row>
    <row r="10" spans="1:43" ht="18.600000000000001" customHeight="1" x14ac:dyDescent="0.15">
      <c r="A10" s="60"/>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2"/>
      <c r="AQ10" s="2" t="str">
        <f>IF(入力!D11="同じ","",IF(入力!D12="",様式14!$AQ$5&amp;様式14!$AR$5&amp;ROW(入力!D12)&amp;" 未入力",入力!D12))</f>
        <v/>
      </c>
    </row>
    <row r="11" spans="1:43" ht="18.600000000000001" customHeight="1" x14ac:dyDescent="0.15">
      <c r="A11" s="6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2"/>
      <c r="AQ11" s="2" t="str">
        <f>IF(入力!D19="",様式14!$AQ$5&amp;様式14!$AR$5&amp;ROW(入力!D19)&amp;" 未入力",入力!D19)</f>
        <v>緊急時対応の認定を受ける</v>
      </c>
    </row>
    <row r="12" spans="1:43" ht="18.600000000000001" customHeight="1" x14ac:dyDescent="0.15">
      <c r="A12" s="60"/>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2"/>
    </row>
    <row r="13" spans="1:43" ht="18.600000000000001" customHeight="1" x14ac:dyDescent="0.15">
      <c r="A13" s="60"/>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2"/>
    </row>
    <row r="14" spans="1:43" ht="18.600000000000001" customHeight="1" x14ac:dyDescent="0.15">
      <c r="A14" s="60"/>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2"/>
    </row>
    <row r="15" spans="1:43" ht="18.600000000000001" customHeight="1" x14ac:dyDescent="0.15">
      <c r="A15" s="60"/>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2"/>
    </row>
    <row r="16" spans="1:43" ht="18.600000000000001" customHeight="1" x14ac:dyDescent="0.15">
      <c r="A16" s="60"/>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2"/>
    </row>
    <row r="17" spans="1:41" ht="18.600000000000001" customHeight="1" x14ac:dyDescent="0.15">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2"/>
    </row>
    <row r="18" spans="1:41" ht="18.600000000000001" customHeight="1" x14ac:dyDescent="0.15">
      <c r="A18" s="60"/>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2"/>
    </row>
    <row r="19" spans="1:41" ht="18.600000000000001" customHeight="1" x14ac:dyDescent="0.15">
      <c r="A19" s="60"/>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2"/>
    </row>
    <row r="20" spans="1:41" ht="18.600000000000001" customHeight="1" x14ac:dyDescent="0.15">
      <c r="A20" s="60"/>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2"/>
    </row>
    <row r="21" spans="1:41" ht="18.600000000000001" customHeight="1" x14ac:dyDescent="0.15">
      <c r="A21" s="63" t="s">
        <v>66</v>
      </c>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row>
    <row r="22" spans="1:41" ht="18.600000000000001" customHeight="1" x14ac:dyDescent="0.15">
      <c r="A22" s="63" t="s">
        <v>489</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5"/>
    </row>
    <row r="23" spans="1:41" ht="18.600000000000001" customHeight="1" x14ac:dyDescent="0.15">
      <c r="A23" s="60"/>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2"/>
    </row>
    <row r="24" spans="1:41" ht="18.600000000000001" customHeight="1" x14ac:dyDescent="0.15">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2"/>
    </row>
    <row r="25" spans="1:41" ht="18.600000000000001" customHeight="1" x14ac:dyDescent="0.15">
      <c r="A25" s="60"/>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2"/>
    </row>
    <row r="26" spans="1:41" ht="18.600000000000001" customHeight="1" x14ac:dyDescent="0.15">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2"/>
    </row>
    <row r="27" spans="1:41" ht="18.600000000000001" customHeight="1" x14ac:dyDescent="0.15">
      <c r="A27" s="60"/>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2"/>
    </row>
    <row r="28" spans="1:41" ht="18.600000000000001" customHeight="1" x14ac:dyDescent="0.15">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2"/>
    </row>
    <row r="29" spans="1:41" ht="18.600000000000001" customHeight="1" x14ac:dyDescent="0.15">
      <c r="A29" s="60"/>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2"/>
    </row>
    <row r="30" spans="1:41" ht="18.600000000000001" customHeight="1" x14ac:dyDescent="0.15">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2"/>
    </row>
    <row r="31" spans="1:41" ht="18.600000000000001" customHeight="1" x14ac:dyDescent="0.15">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2"/>
    </row>
    <row r="32" spans="1:41" ht="18.600000000000001" customHeight="1" x14ac:dyDescent="0.15">
      <c r="A32" s="60"/>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2"/>
    </row>
    <row r="33" spans="1:41" ht="18.600000000000001" customHeight="1" x14ac:dyDescent="0.15">
      <c r="A33" s="60"/>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2"/>
    </row>
    <row r="34" spans="1:41" ht="18.600000000000001" customHeight="1" x14ac:dyDescent="0.15">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2"/>
    </row>
    <row r="35" spans="1:41" ht="18.600000000000001" customHeight="1" x14ac:dyDescent="0.15">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2"/>
    </row>
    <row r="36" spans="1:41" ht="18.600000000000001" customHeight="1" x14ac:dyDescent="0.15">
      <c r="A36" s="60"/>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2"/>
    </row>
    <row r="37" spans="1:41" ht="18.600000000000001"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2"/>
    </row>
    <row r="38" spans="1:41" ht="18.600000000000001" customHeight="1" x14ac:dyDescent="0.15">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2"/>
    </row>
    <row r="39" spans="1:41" ht="18.600000000000001" customHeight="1" x14ac:dyDescent="0.15">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2"/>
    </row>
    <row r="40" spans="1:41" ht="18.600000000000001"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2"/>
    </row>
    <row r="41" spans="1:41" ht="18.600000000000001" customHeight="1" x14ac:dyDescent="0.15">
      <c r="A41" s="66"/>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55"/>
    </row>
    <row r="42" spans="1:41" ht="15.95" customHeight="1" x14ac:dyDescent="0.15">
      <c r="A42" s="273" t="s">
        <v>68</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row>
    <row r="43" spans="1:41" ht="15.95" customHeight="1" x14ac:dyDescent="0.15">
      <c r="A43" s="164" t="s">
        <v>69</v>
      </c>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row>
    <row r="44" spans="1:41" ht="18.600000000000001" customHeight="1" x14ac:dyDescent="0.15"/>
    <row r="45" spans="1:41" ht="18.600000000000001" customHeight="1" x14ac:dyDescent="0.15"/>
    <row r="46" spans="1:41" ht="18.600000000000001" customHeight="1" x14ac:dyDescent="0.15"/>
    <row r="47" spans="1:41" ht="18.600000000000001" customHeight="1" x14ac:dyDescent="0.15"/>
    <row r="48" spans="1:41" ht="18.600000000000001" customHeight="1" x14ac:dyDescent="0.15"/>
    <row r="49" spans="1:1" ht="18.600000000000001" customHeight="1" x14ac:dyDescent="0.15">
      <c r="A49" s="14"/>
    </row>
    <row r="50" spans="1:1" ht="18.600000000000001" customHeight="1" x14ac:dyDescent="0.15"/>
    <row r="51" spans="1:1" ht="18.600000000000001" customHeight="1" x14ac:dyDescent="0.15"/>
    <row r="52" spans="1:1" ht="18.600000000000001" customHeight="1" x14ac:dyDescent="0.15"/>
    <row r="53" spans="1:1" ht="18.600000000000001" customHeight="1" x14ac:dyDescent="0.15"/>
    <row r="54" spans="1:1" ht="18.600000000000001" customHeight="1" x14ac:dyDescent="0.15"/>
    <row r="55" spans="1:1" ht="18.600000000000001" customHeight="1" x14ac:dyDescent="0.15"/>
    <row r="56" spans="1:1" ht="18.600000000000001" customHeight="1" x14ac:dyDescent="0.15"/>
    <row r="57" spans="1:1" ht="18.600000000000001" customHeight="1" x14ac:dyDescent="0.15"/>
    <row r="58" spans="1:1" ht="18.600000000000001" customHeight="1" x14ac:dyDescent="0.15"/>
    <row r="59" spans="1:1" ht="18.600000000000001" customHeight="1" x14ac:dyDescent="0.15"/>
    <row r="60" spans="1:1" ht="18.600000000000001" customHeight="1" x14ac:dyDescent="0.15"/>
    <row r="61" spans="1:1" ht="18.600000000000001" customHeight="1" x14ac:dyDescent="0.15"/>
    <row r="62" spans="1:1" ht="18.600000000000001" customHeight="1" x14ac:dyDescent="0.15"/>
    <row r="63" spans="1:1" ht="18.600000000000001" customHeight="1" x14ac:dyDescent="0.15"/>
    <row r="64" spans="1:1" ht="18.600000000000001" customHeight="1" x14ac:dyDescent="0.15"/>
    <row r="65" ht="18.600000000000001" customHeight="1" x14ac:dyDescent="0.15"/>
    <row r="66" ht="18.600000000000001" customHeight="1" x14ac:dyDescent="0.15"/>
    <row r="67" ht="18.600000000000001" customHeight="1" x14ac:dyDescent="0.15"/>
    <row r="68" ht="18.600000000000001" customHeight="1" x14ac:dyDescent="0.15"/>
    <row r="69" ht="18.600000000000001" customHeight="1" x14ac:dyDescent="0.15"/>
    <row r="70" ht="18.600000000000001" customHeight="1" x14ac:dyDescent="0.15"/>
    <row r="71" ht="18.600000000000001" customHeight="1" x14ac:dyDescent="0.15"/>
    <row r="72" ht="18.600000000000001" customHeight="1" x14ac:dyDescent="0.15"/>
    <row r="73" ht="18.600000000000001" customHeight="1" x14ac:dyDescent="0.15"/>
    <row r="74" ht="18.600000000000001" customHeight="1" x14ac:dyDescent="0.15"/>
    <row r="75" ht="18.600000000000001" customHeight="1" x14ac:dyDescent="0.15"/>
    <row r="76" ht="18.600000000000001" customHeight="1" x14ac:dyDescent="0.15"/>
  </sheetData>
  <sheetProtection sheet="1" scenarios="1"/>
  <mergeCells count="6">
    <mergeCell ref="A43:AO43"/>
    <mergeCell ref="I1:AO1"/>
    <mergeCell ref="A3:AO3"/>
    <mergeCell ref="A4:AO4"/>
    <mergeCell ref="A5:AO5"/>
    <mergeCell ref="A42:AO42"/>
  </mergeCells>
  <phoneticPr fontId="1"/>
  <conditionalFormatting sqref="I1">
    <cfRule type="expression" dxfId="87" priority="3">
      <formula>I1="未入力あり"</formula>
    </cfRule>
  </conditionalFormatting>
  <conditionalFormatting sqref="I1:AO1">
    <cfRule type="expression" dxfId="86" priority="4">
      <formula>$I$1="提出不要"</formula>
    </cfRule>
  </conditionalFormatting>
  <conditionalFormatting sqref="AQ1:AQ100">
    <cfRule type="expression" dxfId="85" priority="1">
      <formula>FIND("未入力",AQ1)</formula>
    </cfRule>
    <cfRule type="expression" dxfId="84" priority="2">
      <formula>_xlfn.ISFORMULA(AQ1)</formula>
    </cfRule>
  </conditionalFormatting>
  <pageMargins left="0.78740157480314965" right="0.78740157480314965" top="0.59055118110236227" bottom="0.78740157480314965"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入力</vt:lpstr>
      <vt:lpstr>必要書類</vt:lpstr>
      <vt:lpstr>様式14</vt:lpstr>
      <vt:lpstr>様式14別紙</vt:lpstr>
      <vt:lpstr>証紙貼付</vt:lpstr>
      <vt:lpstr>様式13</vt:lpstr>
      <vt:lpstr>滋様13-1</vt:lpstr>
      <vt:lpstr>滋様13-1別</vt:lpstr>
      <vt:lpstr>滋様13-2</vt:lpstr>
      <vt:lpstr>滋様13-3</vt:lpstr>
      <vt:lpstr>滋様13-4</vt:lpstr>
      <vt:lpstr>滋様13-5</vt:lpstr>
      <vt:lpstr>滋様13-6</vt:lpstr>
      <vt:lpstr>滋様13-7</vt:lpstr>
      <vt:lpstr>滋様13-8</vt:lpstr>
      <vt:lpstr>滋様13-9</vt:lpstr>
      <vt:lpstr>滋様13-10</vt:lpstr>
      <vt:lpstr>滋様13-11</vt:lpstr>
      <vt:lpstr>滋様13-12</vt:lpstr>
      <vt:lpstr>'滋様13-1'!Print_Area</vt:lpstr>
      <vt:lpstr>'滋様13-10'!Print_Area</vt:lpstr>
      <vt:lpstr>'滋様13-11'!Print_Area</vt:lpstr>
      <vt:lpstr>'滋様13-12'!Print_Area</vt:lpstr>
      <vt:lpstr>'滋様13-1別'!Print_Area</vt:lpstr>
      <vt:lpstr>'滋様13-2'!Print_Area</vt:lpstr>
      <vt:lpstr>'滋様13-3'!Print_Area</vt:lpstr>
      <vt:lpstr>'滋様13-4'!Print_Area</vt:lpstr>
      <vt:lpstr>'滋様13-5'!Print_Area</vt:lpstr>
      <vt:lpstr>'滋様13-6'!Print_Area</vt:lpstr>
      <vt:lpstr>'滋様13-7'!Print_Area</vt:lpstr>
      <vt:lpstr>'滋様13-8'!Print_Area</vt:lpstr>
      <vt:lpstr>'滋様13-9'!Print_Area</vt:lpstr>
      <vt:lpstr>証紙貼付!Print_Area</vt:lpstr>
      <vt:lpstr>必要書類!Print_Area</vt:lpstr>
      <vt:lpstr>様式13!Print_Area</vt:lpstr>
      <vt:lpstr>様式14!Print_Area</vt:lpstr>
      <vt:lpstr>様式14別紙!Print_Area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敬一 駒井</cp:lastModifiedBy>
  <cp:lastPrinted>2023-09-21T10:40:28Z</cp:lastPrinted>
  <dcterms:created xsi:type="dcterms:W3CDTF">2021-05-20T06:30:02Z</dcterms:created>
  <dcterms:modified xsi:type="dcterms:W3CDTF">2023-09-21T10:40:45Z</dcterms:modified>
</cp:coreProperties>
</file>